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HIGHWAYS" sheetId="1" r:id="rId1"/>
    <sheet name="Chart1" sheetId="2" r:id="rId2"/>
    <sheet name="Shee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PAGE1">'HIGHWAYS'!$A$1:$Q$60</definedName>
    <definedName name="PAGE2">#REF!</definedName>
    <definedName name="PAGE3">#REF!</definedName>
    <definedName name="_xlnm.Print_Area" localSheetId="0">'HIGHWAYS'!$A$1:$Q$64</definedName>
  </definedNames>
  <calcPr fullCalcOnLoad="1"/>
</workbook>
</file>

<file path=xl/sharedStrings.xml><?xml version="1.0" encoding="utf-8"?>
<sst xmlns="http://schemas.openxmlformats.org/spreadsheetml/2006/main" count="99" uniqueCount="92">
  <si>
    <t>FEDERAL HIGHWAY TRUST FUND</t>
  </si>
  <si>
    <t>(Current Dollars)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</si>
  <si>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</si>
  <si>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</si>
  <si>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</si>
  <si>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</si>
  <si>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</si>
  <si>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</si>
  <si>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</si>
  <si>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</si>
  <si>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OUTLAYS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</si>
  <si>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</si>
  <si>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</si>
  <si>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</si>
  <si>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</si>
  <si>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</si>
  <si>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</si>
  <si>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</si>
  <si>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</si>
  <si>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</si>
  <si>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</si>
  <si>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</si>
  <si>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</si>
  <si>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</si>
  <si>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</si>
  <si>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</si>
  <si>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</si>
  <si>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</si>
  <si>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</si>
  <si>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</si>
  <si>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</si>
  <si>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</si>
  <si>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</si>
  <si>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</si>
  <si>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</si>
  <si>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</si>
  <si>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</si>
  <si>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</si>
  <si>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</si>
  <si>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</si>
  <si>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</si>
  <si>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</si>
  <si>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</si>
  <si>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</si>
  <si>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</si>
  <si>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</si>
  <si>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</si>
  <si>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</si>
  <si>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</si>
  <si>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</si>
  <si>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</si>
  <si>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</si>
  <si>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</si>
  <si>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</si>
  <si>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</si>
  <si>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</si>
  <si>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</si>
  <si>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</si>
  <si>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</si>
  <si>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</si>
  <si>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</si>
  <si>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</si>
  <si>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</si>
  <si>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</si>
  <si>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</si>
  <si>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</si>
  <si>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</si>
  <si>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</si>
  <si>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</si>
  <si>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</si>
  <si>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</si>
  <si>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</si>
  <si>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</si>
  <si>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</si>
  <si>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</si>
  <si>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</si>
  <si>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</si>
  <si>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</si>
  <si>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</si>
  <si>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</si>
  <si>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2000</t>
  </si>
  <si>
    <t>2002</t>
  </si>
  <si>
    <t>2004</t>
  </si>
  <si>
    <t>2005</t>
  </si>
  <si>
    <t>2006</t>
  </si>
  <si>
    <t>2007</t>
  </si>
  <si>
    <t>2008</t>
  </si>
  <si>
    <t>2009</t>
  </si>
  <si>
    <t>2003</t>
  </si>
  <si>
    <t>2001</t>
  </si>
  <si>
    <t>1999</t>
  </si>
  <si>
    <t>1997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</si>
</sst>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</numFmts>
  <fonts count="47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  <font>
      <sz val="9"/>
      <name val="P-AVGARD"/>
      <family val="0"/>
    </font>
    <font>
      <sz val="8"/>
      <name val="P-AVGARD"/>
      <family val="0"/>
    </font>
    <font>
      <b/>
      <sz val="9"/>
      <name val="P-AVGARD"/>
      <family val="0"/>
    </font>
    <font>
      <b/>
      <sz val="6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9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39" fontId="3" fillId="0" borderId="17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7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9" fontId="3" fillId="0" borderId="14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1" fillId="33" borderId="18" xfId="0" applyNumberFormat="1" applyFont="1" applyFill="1" applyBorder="1" applyAlignment="1" applyProtection="1">
      <alignment/>
      <protection/>
    </xf>
    <xf numFmtId="39" fontId="0" fillId="0" borderId="0" xfId="0" applyNumberFormat="1" applyAlignment="1">
      <alignment/>
    </xf>
    <xf numFmtId="39" fontId="1" fillId="33" borderId="17" xfId="0" applyNumberFormat="1" applyFont="1" applyFill="1" applyBorder="1" applyAlignment="1" applyProtection="1">
      <alignment/>
      <protection/>
    </xf>
    <xf numFmtId="39" fontId="3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14" xfId="0" applyFont="1" applyBorder="1" applyAlignment="1" applyProtection="1" quotePrefix="1">
      <alignment horizontal="left"/>
      <protection/>
    </xf>
    <xf numFmtId="0" fontId="3" fillId="0" borderId="14" xfId="0" applyFont="1" applyFill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Highway Account of the Highway Trust Fund to 2009 </a:t>
            </a:r>
          </a:p>
        </c:rich>
      </c:tx>
      <c:layout>
        <c:manualLayout>
          <c:xMode val="factor"/>
          <c:yMode val="factor"/>
          <c:x val="0.002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8825"/>
          <c:w val="0.84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HIGHWAYS!$X$11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HIGHWAYS!$W$12:$W$64</c:f>
              <c:strCache/>
            </c:strRef>
          </c:cat>
          <c:val>
            <c:numRef>
              <c:f>HIGHWAYS!$X$12:$X$64</c:f>
              <c:numCache/>
            </c:numRef>
          </c:val>
          <c:smooth val="0"/>
        </c:ser>
        <c:ser>
          <c:idx val="1"/>
          <c:order val="1"/>
          <c:tx>
            <c:strRef>
              <c:f>HIGHWAYS!$Y$11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HIGHWAYS!$W$12:$W$64</c:f>
              <c:strCache/>
            </c:strRef>
          </c:cat>
          <c:val>
            <c:numRef>
              <c:f>HIGHWAYS!$Y$12:$Y$64</c:f>
              <c:numCache/>
            </c:numRef>
          </c:val>
          <c:smooth val="0"/>
        </c:ser>
        <c:ser>
          <c:idx val="2"/>
          <c:order val="2"/>
          <c:tx>
            <c:strRef>
              <c:f>HIGHWAYS!$Z$11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HIGHWAYS!$W$12:$W$64</c:f>
              <c:strCache/>
            </c:strRef>
          </c:cat>
          <c:val>
            <c:numRef>
              <c:f>HIGHWAYS!$Z$12:$Z$64</c:f>
              <c:numCache/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182"/>
        <c:crosses val="autoZero"/>
        <c:auto val="1"/>
        <c:lblOffset val="100"/>
        <c:tickLblSkip val="2"/>
        <c:noMultiLvlLbl val="0"/>
      </c:cat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725"/>
          <c:w val="0.089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Highway Account of the Highway Trust Fund to 2009 </a:t>
            </a:r>
          </a:p>
        </c:rich>
      </c:tx>
      <c:layout>
        <c:manualLayout>
          <c:xMode val="factor"/>
          <c:yMode val="factor"/>
          <c:x val="0.003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41"/>
          <c:w val="0.779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HIGHWAYS!$X$11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HIGHWAYS!$W$12:$W$64</c:f>
              <c:strCache>
                <c:ptCount val="53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</c:strCache>
            </c:strRef>
          </c:cat>
          <c:val>
            <c:numRef>
              <c:f>HIGHWAYS!$X$12:$X$64</c:f>
              <c:numCache>
                <c:ptCount val="53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33.68</c:v>
                </c:pt>
                <c:pt idx="50">
                  <c:v>34.31</c:v>
                </c:pt>
                <c:pt idx="51">
                  <c:v>31.34</c:v>
                </c:pt>
                <c:pt idx="52">
                  <c:v>30.12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HIGHWAYS!$Y$11</c:f>
              <c:strCache>
                <c:ptCount val="1"/>
                <c:pt idx="0">
                  <c:v>Outlays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HIGHWAYS!$W$12:$W$64</c:f>
              <c:strCache>
                <c:ptCount val="53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</c:strCache>
            </c:strRef>
          </c:cat>
          <c:val>
            <c:numRef>
              <c:f>HIGHWAYS!$Y$12:$Y$64</c:f>
              <c:numCache>
                <c:ptCount val="53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31.96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HIGHWAYS!$Z$11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HIGHWAYS!$W$12:$W$64</c:f>
              <c:strCache>
                <c:ptCount val="53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</c:strCache>
            </c:strRef>
          </c:cat>
          <c:val>
            <c:numRef>
              <c:f>HIGHWAYS!$Z$12:$Z$64</c:f>
              <c:numCache>
                <c:ptCount val="53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 val="autoZero"/>
        <c:auto val="1"/>
        <c:lblOffset val="100"/>
        <c:tickLblSkip val="3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145"/>
          <c:w val="0.112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70</xdr:row>
      <xdr:rowOff>57150</xdr:rowOff>
    </xdr:from>
    <xdr:to>
      <xdr:col>24</xdr:col>
      <xdr:colOff>390525</xdr:colOff>
      <xdr:row>112</xdr:row>
      <xdr:rowOff>57150</xdr:rowOff>
    </xdr:to>
    <xdr:graphicFrame>
      <xdr:nvGraphicFramePr>
        <xdr:cNvPr id="1" name="Chart 4"/>
        <xdr:cNvGraphicFramePr/>
      </xdr:nvGraphicFramePr>
      <xdr:xfrm>
        <a:off x="4467225" y="11087100"/>
        <a:ext cx="80867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19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3\HTF%20income%202003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4\HTF%20income%202004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5\HTF%20income%202005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6\HTF%20income%20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7\HTF%20income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8\HTF%20income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hwa.dot.gov/Share\HPM10\HTF\2009\HTF%20incom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16963588616</v>
          </cell>
        </row>
        <row r="17">
          <cell r="B17">
            <v>1994951000</v>
          </cell>
        </row>
        <row r="24">
          <cell r="B24">
            <v>6950010000</v>
          </cell>
        </row>
        <row r="29">
          <cell r="B29">
            <v>940434000</v>
          </cell>
        </row>
        <row r="31">
          <cell r="B31">
            <v>1709666000</v>
          </cell>
        </row>
        <row r="33">
          <cell r="B33">
            <v>403039000</v>
          </cell>
        </row>
        <row r="46">
          <cell r="B46">
            <v>2311764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14776772683.97</v>
          </cell>
        </row>
        <row r="17">
          <cell r="B17">
            <v>4485353000</v>
          </cell>
        </row>
        <row r="24">
          <cell r="B24">
            <v>7285859000</v>
          </cell>
        </row>
        <row r="29">
          <cell r="B29">
            <v>944563000</v>
          </cell>
        </row>
        <row r="31">
          <cell r="B31">
            <v>1846613000</v>
          </cell>
        </row>
        <row r="33">
          <cell r="B33">
            <v>445841000</v>
          </cell>
        </row>
        <row r="46">
          <cell r="B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19173871333</v>
          </cell>
        </row>
        <row r="17">
          <cell r="B17">
            <v>1351831000</v>
          </cell>
        </row>
        <row r="24">
          <cell r="B24">
            <v>7832149000</v>
          </cell>
        </row>
        <row r="29">
          <cell r="B29">
            <v>1089886000</v>
          </cell>
        </row>
        <row r="31">
          <cell r="B31">
            <v>2992692000</v>
          </cell>
        </row>
        <row r="33">
          <cell r="B33">
            <v>467079000</v>
          </cell>
        </row>
        <row r="46">
          <cell r="B46">
            <v>1054722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20082905515</v>
          </cell>
        </row>
        <row r="17">
          <cell r="B17">
            <v>0</v>
          </cell>
        </row>
        <row r="27">
          <cell r="B27">
            <v>8089814987</v>
          </cell>
        </row>
        <row r="32">
          <cell r="B32">
            <v>1403550000</v>
          </cell>
        </row>
        <row r="34">
          <cell r="B34">
            <v>3618945000</v>
          </cell>
        </row>
        <row r="36">
          <cell r="B36">
            <v>488210000</v>
          </cell>
        </row>
        <row r="46">
          <cell r="B46">
            <v>1138728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20658493607</v>
          </cell>
        </row>
        <row r="17">
          <cell r="B17">
            <v>0</v>
          </cell>
        </row>
        <row r="27">
          <cell r="B27">
            <v>8347276986</v>
          </cell>
        </row>
        <row r="32">
          <cell r="B32">
            <v>1031884000</v>
          </cell>
        </row>
        <row r="34">
          <cell r="B34">
            <v>3809479000</v>
          </cell>
        </row>
        <row r="36">
          <cell r="B36">
            <v>460957000</v>
          </cell>
        </row>
        <row r="46">
          <cell r="B46">
            <v>2385724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20575324767</v>
          </cell>
        </row>
        <row r="17">
          <cell r="B17">
            <v>0</v>
          </cell>
        </row>
        <row r="27">
          <cell r="B27">
            <v>7895817000</v>
          </cell>
        </row>
        <row r="32">
          <cell r="B32">
            <v>1038312000</v>
          </cell>
        </row>
        <row r="34">
          <cell r="B34">
            <v>1445621000</v>
          </cell>
        </row>
        <row r="36">
          <cell r="B36">
            <v>386627000</v>
          </cell>
        </row>
        <row r="46">
          <cell r="B46">
            <v>2628300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19958795000</v>
          </cell>
        </row>
        <row r="17">
          <cell r="B17">
            <v>0</v>
          </cell>
        </row>
        <row r="27">
          <cell r="B27">
            <v>7000779000</v>
          </cell>
        </row>
        <row r="32">
          <cell r="B32">
            <v>962528000</v>
          </cell>
        </row>
        <row r="34">
          <cell r="B34">
            <v>1890021000</v>
          </cell>
        </row>
        <row r="36">
          <cell r="B36">
            <v>314276000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4"/>
  <sheetViews>
    <sheetView showGridLines="0" tabSelected="1" defaultGridColor="0" zoomScalePageLayoutView="0" colorId="22" workbookViewId="0" topLeftCell="A40">
      <selection activeCell="U67" sqref="U67"/>
    </sheetView>
  </sheetViews>
  <sheetFormatPr defaultColWidth="9.796875" defaultRowHeight="8.25"/>
  <cols>
    <col min="1" max="1" width="9.796875" style="0" customWidth="1"/>
    <col min="2" max="2" width="27.3984375" style="0" bestFit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bestFit="1" customWidth="1"/>
    <col min="14" max="14" width="25.796875" style="0" bestFit="1" customWidth="1"/>
    <col min="15" max="16" width="27.3984375" style="0" bestFit="1" customWidth="1"/>
    <col min="17" max="17" width="28.796875" style="0" customWidth="1"/>
    <col min="18" max="18" width="10.3984375" style="0" bestFit="1" customWidth="1"/>
    <col min="19" max="19" width="16.3984375" style="0" bestFit="1" customWidth="1"/>
    <col min="20" max="20" width="9.796875" style="0" customWidth="1"/>
    <col min="21" max="21" width="15.3984375" style="0" bestFit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X3" t="s">
        <v>36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24" ht="12.75">
      <c r="A6" s="14" t="s">
        <v>3</v>
      </c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3"/>
      <c r="X6" s="39" t="s">
        <v>37</v>
      </c>
    </row>
    <row r="7" spans="1:24" ht="12.7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5"/>
      <c r="P7" s="10"/>
      <c r="Q7" s="13"/>
      <c r="X7" s="39" t="s">
        <v>38</v>
      </c>
    </row>
    <row r="8" spans="1:24" ht="12.75">
      <c r="A8" s="10"/>
      <c r="B8" s="11" t="s">
        <v>6</v>
      </c>
      <c r="C8" s="12"/>
      <c r="D8" s="12"/>
      <c r="E8" s="12"/>
      <c r="F8" s="14"/>
      <c r="G8" s="15"/>
      <c r="H8" s="15"/>
      <c r="I8" s="15" t="s">
        <v>7</v>
      </c>
      <c r="J8" s="14"/>
      <c r="K8" s="15" t="s">
        <v>8</v>
      </c>
      <c r="L8" s="14" t="s">
        <v>9</v>
      </c>
      <c r="M8" s="15"/>
      <c r="N8" s="15"/>
      <c r="O8" s="15"/>
      <c r="P8" s="14" t="s">
        <v>10</v>
      </c>
      <c r="Q8" s="22" t="s">
        <v>11</v>
      </c>
      <c r="X8" s="39" t="s">
        <v>39</v>
      </c>
    </row>
    <row r="9" spans="1:27" ht="12.75">
      <c r="A9" s="10"/>
      <c r="B9" s="10"/>
      <c r="C9" s="10"/>
      <c r="D9" s="14" t="s">
        <v>12</v>
      </c>
      <c r="E9" s="10"/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20</v>
      </c>
      <c r="P9" s="10"/>
      <c r="Q9" s="13"/>
      <c r="X9" s="40" t="s">
        <v>33</v>
      </c>
      <c r="Y9" s="40" t="s">
        <v>34</v>
      </c>
      <c r="Z9" s="40" t="s">
        <v>35</v>
      </c>
      <c r="AA9" s="41"/>
    </row>
    <row r="10" spans="1:27" ht="12.75">
      <c r="A10" s="10"/>
      <c r="B10" s="14" t="s">
        <v>22</v>
      </c>
      <c r="C10" s="14" t="s">
        <v>23</v>
      </c>
      <c r="D10" s="14" t="s">
        <v>24</v>
      </c>
      <c r="E10" s="14" t="s">
        <v>20</v>
      </c>
      <c r="F10" s="10"/>
      <c r="G10" s="14" t="s">
        <v>25</v>
      </c>
      <c r="H10" s="14" t="s">
        <v>26</v>
      </c>
      <c r="I10" s="14" t="s">
        <v>19</v>
      </c>
      <c r="J10" s="10"/>
      <c r="K10" s="14" t="s">
        <v>27</v>
      </c>
      <c r="L10" s="14" t="s">
        <v>28</v>
      </c>
      <c r="M10" s="10"/>
      <c r="N10" s="10"/>
      <c r="O10" s="10"/>
      <c r="P10" s="10"/>
      <c r="Q10" s="13"/>
      <c r="X10" s="40" t="s">
        <v>32</v>
      </c>
      <c r="Y10" s="40"/>
      <c r="Z10" s="40"/>
      <c r="AA10" s="41"/>
    </row>
    <row r="11" spans="1:26" ht="12.75">
      <c r="A11" s="16"/>
      <c r="B11" s="16"/>
      <c r="C11" s="16"/>
      <c r="D11" s="23" t="s">
        <v>29</v>
      </c>
      <c r="E11" s="16"/>
      <c r="F11" s="16"/>
      <c r="G11" s="16"/>
      <c r="H11" s="16"/>
      <c r="I11" s="23" t="s">
        <v>30</v>
      </c>
      <c r="J11" s="16"/>
      <c r="K11" s="16"/>
      <c r="L11" s="23" t="s">
        <v>31</v>
      </c>
      <c r="M11" s="16"/>
      <c r="N11" s="16"/>
      <c r="O11" s="16"/>
      <c r="P11" s="16"/>
      <c r="Q11" s="17"/>
      <c r="X11" s="36" t="s">
        <v>32</v>
      </c>
      <c r="Y11" s="36" t="s">
        <v>34</v>
      </c>
      <c r="Z11" s="36" t="s">
        <v>35</v>
      </c>
    </row>
    <row r="12" spans="1:30" ht="12.75">
      <c r="A12" s="19">
        <v>1957</v>
      </c>
      <c r="B12" s="20">
        <f>1295082186.85-409.37-11382.1</f>
        <v>1295070395.38</v>
      </c>
      <c r="C12" s="20">
        <v>0</v>
      </c>
      <c r="D12" s="20">
        <v>30475089.29</v>
      </c>
      <c r="E12" s="20">
        <f aca="true" t="shared" si="0" ref="E12:E58">SUM(B12:D12)</f>
        <v>1325545484.67</v>
      </c>
      <c r="F12" s="20">
        <f>82185025.77-3172.3</f>
        <v>82181853.47</v>
      </c>
      <c r="G12" s="20">
        <v>0</v>
      </c>
      <c r="H12" s="20">
        <v>11273518.77</v>
      </c>
      <c r="I12" s="20">
        <f>34410411.43-1865.91</f>
        <v>34408545.52</v>
      </c>
      <c r="J12" s="20">
        <v>25498818.1</v>
      </c>
      <c r="K12" s="20">
        <v>0</v>
      </c>
      <c r="L12" s="20">
        <v>0</v>
      </c>
      <c r="M12" s="20">
        <f>1478925050.21-16829.68</f>
        <v>1478908220.53</v>
      </c>
      <c r="N12" s="20">
        <v>3094002.4</v>
      </c>
      <c r="O12" s="20">
        <f aca="true" t="shared" si="1" ref="O12:O52">M12+N12</f>
        <v>1482002222.93</v>
      </c>
      <c r="P12" s="20">
        <f>965683563.53-16829.68</f>
        <v>965666733.85</v>
      </c>
      <c r="Q12" s="20">
        <v>516335489.08</v>
      </c>
      <c r="R12" s="18"/>
      <c r="W12" s="37" t="s">
        <v>40</v>
      </c>
      <c r="X12" s="25">
        <f aca="true" t="shared" si="2" ref="X12:X31">TRUNC((O12)/1000000000,2)</f>
        <v>1.48</v>
      </c>
      <c r="Y12" s="25">
        <f aca="true" t="shared" si="3" ref="Y12:Z27">TRUNC((P12)/1000000000,2)</f>
        <v>0.96</v>
      </c>
      <c r="Z12" s="25">
        <f t="shared" si="3"/>
        <v>0.51</v>
      </c>
      <c r="AC12" s="27"/>
      <c r="AD12" s="28"/>
    </row>
    <row r="13" spans="1:30" ht="12.75">
      <c r="A13" s="19">
        <v>1958</v>
      </c>
      <c r="B13" s="20">
        <f>1637997879.26-73571100.3-16310818.33-9881.77</f>
        <v>1548106078.8600001</v>
      </c>
      <c r="C13" s="20">
        <v>0</v>
      </c>
      <c r="D13" s="20">
        <v>49783079.61</v>
      </c>
      <c r="E13" s="20">
        <f t="shared" si="0"/>
        <v>1597889158.47</v>
      </c>
      <c r="F13" s="20">
        <f>220284833.39+36027683.8-6971.08</f>
        <v>256305546.10999998</v>
      </c>
      <c r="G13" s="20">
        <v>17374263.4</v>
      </c>
      <c r="H13" s="20">
        <v>10813762.17</v>
      </c>
      <c r="I13" s="20">
        <f>110520155.87-14237.19</f>
        <v>110505918.68</v>
      </c>
      <c r="J13" s="20">
        <v>33226553.07</v>
      </c>
      <c r="K13" s="20">
        <v>0</v>
      </c>
      <c r="L13" s="20">
        <v>0</v>
      </c>
      <c r="M13" s="20">
        <f>2116028210.57-89913008.67</f>
        <v>2026115201.8999999</v>
      </c>
      <c r="N13" s="20">
        <v>17686110.43</v>
      </c>
      <c r="O13" s="20">
        <f t="shared" si="1"/>
        <v>2043801312.33</v>
      </c>
      <c r="P13" s="20">
        <f>1601515884.93-89913008.67</f>
        <v>1511602876.26</v>
      </c>
      <c r="Q13" s="20">
        <v>1048533925.15</v>
      </c>
      <c r="R13" s="18"/>
      <c r="W13" s="37" t="s">
        <v>41</v>
      </c>
      <c r="X13" s="25">
        <f t="shared" si="2"/>
        <v>2.04</v>
      </c>
      <c r="Y13" s="25">
        <f t="shared" si="3"/>
        <v>1.51</v>
      </c>
      <c r="Z13" s="25">
        <f t="shared" si="3"/>
        <v>1.04</v>
      </c>
      <c r="AC13" s="27"/>
      <c r="AD13" s="28"/>
    </row>
    <row r="14" spans="1:30" ht="12.75">
      <c r="A14" s="19">
        <v>1959</v>
      </c>
      <c r="B14" s="20">
        <f>1702579746.22-78596984.93-18274951.09-16507.92</f>
        <v>1605691302.28</v>
      </c>
      <c r="C14" s="20">
        <v>0</v>
      </c>
      <c r="D14" s="20">
        <v>50955262.84</v>
      </c>
      <c r="E14" s="20">
        <f t="shared" si="0"/>
        <v>1656646565.12</v>
      </c>
      <c r="F14" s="20">
        <f>184937733.45+62320164.95-3522.77</f>
        <v>247254375.62999997</v>
      </c>
      <c r="G14" s="20">
        <v>14874490.85</v>
      </c>
      <c r="H14" s="20">
        <v>14101846.99</v>
      </c>
      <c r="I14" s="20">
        <f>107394255.33-7776.24</f>
        <v>107386479.09</v>
      </c>
      <c r="J14" s="20">
        <v>33852363.52</v>
      </c>
      <c r="K14" s="20">
        <v>0</v>
      </c>
      <c r="L14" s="20">
        <v>0</v>
      </c>
      <c r="M14" s="20">
        <f>2171015864.15-96899742.95</f>
        <v>2074116121.2</v>
      </c>
      <c r="N14" s="20">
        <v>13583651.19</v>
      </c>
      <c r="O14" s="20">
        <f t="shared" si="1"/>
        <v>2087699772.39</v>
      </c>
      <c r="P14" s="20">
        <f>2709476166.05-96899742.95</f>
        <v>2612576423.1000004</v>
      </c>
      <c r="Q14" s="20">
        <v>523657274.44</v>
      </c>
      <c r="R14" s="18"/>
      <c r="W14" s="37" t="s">
        <v>42</v>
      </c>
      <c r="X14" s="25">
        <f t="shared" si="2"/>
        <v>2.08</v>
      </c>
      <c r="Y14" s="25">
        <f t="shared" si="3"/>
        <v>2.61</v>
      </c>
      <c r="Z14" s="25">
        <f t="shared" si="3"/>
        <v>0.52</v>
      </c>
      <c r="AC14" s="27"/>
      <c r="AD14" s="28"/>
    </row>
    <row r="15" spans="1:30" ht="12.75">
      <c r="A15" s="19">
        <v>1960</v>
      </c>
      <c r="B15" s="20">
        <f>2064121920.69+1399561.4-81918786.21-21466182.33-1042.37</f>
        <v>1962135471.1800003</v>
      </c>
      <c r="C15" s="20">
        <v>0</v>
      </c>
      <c r="D15" s="20">
        <v>81628340.91</v>
      </c>
      <c r="E15" s="20">
        <f t="shared" si="0"/>
        <v>2043763812.0900004</v>
      </c>
      <c r="F15" s="20">
        <f>197507778.09+83676452.78-83750.75</f>
        <v>281100480.12</v>
      </c>
      <c r="G15" s="20">
        <v>18830208.73</v>
      </c>
      <c r="H15" s="20">
        <v>15675917.71</v>
      </c>
      <c r="I15" s="20">
        <f>141946823.26-2780.87</f>
        <v>141944042.39</v>
      </c>
      <c r="J15" s="20">
        <v>37712114.49</v>
      </c>
      <c r="K15" s="20">
        <v>0</v>
      </c>
      <c r="L15" s="20">
        <v>0</v>
      </c>
      <c r="M15" s="20">
        <v>2539026575.53</v>
      </c>
      <c r="N15" s="20">
        <f>1854801.42-5066704.82</f>
        <v>-3211903.4000000004</v>
      </c>
      <c r="O15" s="20">
        <f t="shared" si="1"/>
        <v>2535814672.13</v>
      </c>
      <c r="P15" s="20">
        <f>3304317834.96-359000000-5066704.82</f>
        <v>2940251130.14</v>
      </c>
      <c r="Q15" s="20">
        <v>119220816.43</v>
      </c>
      <c r="R15" s="18"/>
      <c r="W15" s="37" t="s">
        <v>43</v>
      </c>
      <c r="X15" s="25">
        <f t="shared" si="2"/>
        <v>2.53</v>
      </c>
      <c r="Y15" s="25">
        <f t="shared" si="3"/>
        <v>2.94</v>
      </c>
      <c r="Z15" s="25">
        <f t="shared" si="3"/>
        <v>0.11</v>
      </c>
      <c r="AC15" s="27"/>
      <c r="AD15" s="28"/>
    </row>
    <row r="16" spans="1:30" ht="12.75">
      <c r="A16" s="19">
        <v>1961</v>
      </c>
      <c r="B16" s="20">
        <f>2401458264.92-98237757.72-27455914.27-9469.06</f>
        <v>2275755123.8700004</v>
      </c>
      <c r="C16" s="20">
        <v>0</v>
      </c>
      <c r="D16" s="20">
        <v>84904510.13</v>
      </c>
      <c r="E16" s="20">
        <f t="shared" si="0"/>
        <v>2360659634.0000005</v>
      </c>
      <c r="F16" s="20">
        <f>168068014.56+77916143.67</f>
        <v>245984158.23000002</v>
      </c>
      <c r="G16" s="20">
        <v>14714182.36</v>
      </c>
      <c r="H16" s="20">
        <v>13813641.49</v>
      </c>
      <c r="I16" s="20">
        <v>115598157.43</v>
      </c>
      <c r="J16" s="20">
        <v>46768007.38</v>
      </c>
      <c r="K16" s="20">
        <v>0</v>
      </c>
      <c r="L16" s="20">
        <v>0</v>
      </c>
      <c r="M16" s="20">
        <v>2797537780.89</v>
      </c>
      <c r="N16" s="20">
        <f>2017718.38-543457.2</f>
        <v>1474261.18</v>
      </c>
      <c r="O16" s="20">
        <f t="shared" si="1"/>
        <v>2799012042.0699997</v>
      </c>
      <c r="P16" s="20">
        <f>2679713640.57-543457.2-60000000</f>
        <v>2619170183.3700004</v>
      </c>
      <c r="Q16" s="20">
        <v>299062675.13</v>
      </c>
      <c r="R16" s="18"/>
      <c r="W16" s="37" t="s">
        <v>44</v>
      </c>
      <c r="X16" s="25">
        <f t="shared" si="2"/>
        <v>2.79</v>
      </c>
      <c r="Y16" s="25">
        <f t="shared" si="3"/>
        <v>2.61</v>
      </c>
      <c r="Z16" s="25">
        <f t="shared" si="3"/>
        <v>0.29</v>
      </c>
      <c r="AC16" s="27"/>
      <c r="AD16" s="28"/>
    </row>
    <row r="17" spans="1:30" ht="12.75">
      <c r="A17" s="19">
        <v>1962</v>
      </c>
      <c r="B17" s="20">
        <f>2398945348.88-107190501.76-24101848.97-10551.44</f>
        <v>2267642446.71</v>
      </c>
      <c r="C17" s="20">
        <v>0</v>
      </c>
      <c r="D17" s="20">
        <v>105776246.66</v>
      </c>
      <c r="E17" s="20">
        <f t="shared" si="0"/>
        <v>2373418693.37</v>
      </c>
      <c r="F17" s="20">
        <f>314228193.31+12777734.13</f>
        <v>327005927.44</v>
      </c>
      <c r="G17" s="20">
        <v>17546761.71</v>
      </c>
      <c r="H17" s="20">
        <v>22900805.78</v>
      </c>
      <c r="I17" s="20">
        <v>127973553.26</v>
      </c>
      <c r="J17" s="20">
        <v>79844386.66</v>
      </c>
      <c r="K17" s="20">
        <v>0</v>
      </c>
      <c r="L17" s="20">
        <v>0</v>
      </c>
      <c r="M17" s="20">
        <v>2948690128.22</v>
      </c>
      <c r="N17" s="20">
        <v>6772167.11</v>
      </c>
      <c r="O17" s="20">
        <f t="shared" si="1"/>
        <v>2955462295.33</v>
      </c>
      <c r="P17" s="20">
        <v>2783864409</v>
      </c>
      <c r="Q17" s="20">
        <v>470660561.46</v>
      </c>
      <c r="R17" s="18"/>
      <c r="W17" s="37" t="s">
        <v>45</v>
      </c>
      <c r="X17" s="25">
        <f t="shared" si="2"/>
        <v>2.95</v>
      </c>
      <c r="Y17" s="25">
        <f t="shared" si="3"/>
        <v>2.78</v>
      </c>
      <c r="Z17" s="25">
        <f t="shared" si="3"/>
        <v>0.47</v>
      </c>
      <c r="AC17" s="27"/>
      <c r="AD17" s="28"/>
    </row>
    <row r="18" spans="1:30" ht="12.75">
      <c r="A18" s="19">
        <v>1963</v>
      </c>
      <c r="B18" s="20">
        <f>2473804270.2-103996500.88-22238960.63-43856.19</f>
        <v>2347524952.4999995</v>
      </c>
      <c r="C18" s="20">
        <v>0</v>
      </c>
      <c r="D18" s="20">
        <v>114441361.28</v>
      </c>
      <c r="E18" s="20">
        <f t="shared" si="0"/>
        <v>2461966313.7799997</v>
      </c>
      <c r="F18" s="20">
        <v>365346331.73</v>
      </c>
      <c r="G18" s="20">
        <v>18890971.8</v>
      </c>
      <c r="H18" s="20">
        <v>24056397.93</v>
      </c>
      <c r="I18" s="20">
        <f>311160175.52-39990.34</f>
        <v>311120185.18</v>
      </c>
      <c r="J18" s="20">
        <v>97317555.78</v>
      </c>
      <c r="K18" s="20">
        <v>0</v>
      </c>
      <c r="L18" s="20">
        <v>0</v>
      </c>
      <c r="M18" s="20">
        <v>3278697756.2</v>
      </c>
      <c r="N18" s="20">
        <v>14268227.04</v>
      </c>
      <c r="O18" s="20">
        <f t="shared" si="1"/>
        <v>3292965983.24</v>
      </c>
      <c r="P18" s="20">
        <v>3016700500.24</v>
      </c>
      <c r="Q18" s="20">
        <v>746926044.46</v>
      </c>
      <c r="R18" s="18"/>
      <c r="W18" s="37" t="s">
        <v>46</v>
      </c>
      <c r="X18" s="25">
        <f t="shared" si="2"/>
        <v>3.29</v>
      </c>
      <c r="Y18" s="25">
        <f t="shared" si="3"/>
        <v>3.01</v>
      </c>
      <c r="Z18" s="25">
        <f t="shared" si="3"/>
        <v>0.74</v>
      </c>
      <c r="AC18" s="27"/>
      <c r="AD18" s="28"/>
    </row>
    <row r="19" spans="1:30" ht="12.75">
      <c r="A19" s="19">
        <v>1964</v>
      </c>
      <c r="B19" s="20">
        <f>2641336305.99-103526032.11-23110477.6-46.12</f>
        <v>2514699750.16</v>
      </c>
      <c r="C19" s="20">
        <v>0</v>
      </c>
      <c r="D19" s="20">
        <v>128105009.59</v>
      </c>
      <c r="E19" s="20">
        <f t="shared" si="0"/>
        <v>2642804759.75</v>
      </c>
      <c r="F19" s="20">
        <v>369520086.5</v>
      </c>
      <c r="G19" s="20">
        <v>21796211.92</v>
      </c>
      <c r="H19" s="20">
        <v>21929800.44</v>
      </c>
      <c r="I19" s="20">
        <v>357344905.96</v>
      </c>
      <c r="J19" s="20">
        <v>105760878.29</v>
      </c>
      <c r="K19" s="20">
        <v>0</v>
      </c>
      <c r="L19" s="20">
        <v>0</v>
      </c>
      <c r="M19" s="20">
        <v>3519156642.86</v>
      </c>
      <c r="N19" s="20">
        <v>20361229.42</v>
      </c>
      <c r="O19" s="20">
        <f t="shared" si="1"/>
        <v>3539517872.28</v>
      </c>
      <c r="P19" s="20">
        <v>3645013031.88</v>
      </c>
      <c r="Q19" s="20">
        <v>641430884.86</v>
      </c>
      <c r="R19" s="18"/>
      <c r="W19" s="37" t="s">
        <v>47</v>
      </c>
      <c r="X19" s="25">
        <f t="shared" si="2"/>
        <v>3.53</v>
      </c>
      <c r="Y19" s="25">
        <f t="shared" si="3"/>
        <v>3.64</v>
      </c>
      <c r="Z19" s="25">
        <f t="shared" si="3"/>
        <v>0.64</v>
      </c>
      <c r="AC19" s="27"/>
      <c r="AD19" s="28"/>
    </row>
    <row r="20" spans="1:30" ht="12.75">
      <c r="A20" s="19">
        <v>1965</v>
      </c>
      <c r="B20" s="20">
        <f>2720696170.12-101023407.29-22474686.13-247.99-4400000</f>
        <v>2592797828.71</v>
      </c>
      <c r="C20" s="20">
        <v>0</v>
      </c>
      <c r="D20" s="20">
        <v>143675108.28</v>
      </c>
      <c r="E20" s="20">
        <f t="shared" si="0"/>
        <v>2736472936.9900002</v>
      </c>
      <c r="F20" s="20">
        <v>381539560.92</v>
      </c>
      <c r="G20" s="20">
        <v>23752914.01</v>
      </c>
      <c r="H20" s="20">
        <v>24160662.81</v>
      </c>
      <c r="I20" s="20">
        <v>393304162.28</v>
      </c>
      <c r="J20" s="20">
        <v>99278933.75</v>
      </c>
      <c r="K20" s="20">
        <v>0</v>
      </c>
      <c r="L20" s="20">
        <v>0</v>
      </c>
      <c r="M20" s="20">
        <v>3658509170.76</v>
      </c>
      <c r="N20" s="20">
        <v>11034928.41</v>
      </c>
      <c r="O20" s="20">
        <f t="shared" si="1"/>
        <v>3669544099.17</v>
      </c>
      <c r="P20" s="20">
        <v>4026117471.91</v>
      </c>
      <c r="Q20" s="20">
        <v>284857512.12</v>
      </c>
      <c r="R20" s="18"/>
      <c r="W20" s="37" t="s">
        <v>48</v>
      </c>
      <c r="X20" s="25">
        <f t="shared" si="2"/>
        <v>3.66</v>
      </c>
      <c r="Y20" s="25">
        <f t="shared" si="3"/>
        <v>4.02</v>
      </c>
      <c r="Z20" s="25">
        <f t="shared" si="3"/>
        <v>0.28</v>
      </c>
      <c r="AC20" s="27"/>
      <c r="AD20" s="28"/>
    </row>
    <row r="21" spans="1:30" ht="12.75">
      <c r="A21" s="19">
        <v>1966</v>
      </c>
      <c r="B21" s="20">
        <f>2830443289.92-98051634.89-21720105.02-22.88-28000000</f>
        <v>2682671527.13</v>
      </c>
      <c r="C21" s="20">
        <v>0</v>
      </c>
      <c r="D21" s="20">
        <v>163565795.27</v>
      </c>
      <c r="E21" s="20">
        <f t="shared" si="0"/>
        <v>2846237322.4</v>
      </c>
      <c r="F21" s="20">
        <v>442154291.32</v>
      </c>
      <c r="G21" s="20">
        <v>30175548.96</v>
      </c>
      <c r="H21" s="20">
        <v>24283699.86</v>
      </c>
      <c r="I21" s="20">
        <v>441968806.75</v>
      </c>
      <c r="J21" s="20">
        <v>101983249.79</v>
      </c>
      <c r="K21" s="20">
        <v>23000000</v>
      </c>
      <c r="L21" s="20">
        <v>7000000</v>
      </c>
      <c r="M21" s="20">
        <v>3916802919.08</v>
      </c>
      <c r="N21" s="20">
        <f>7983464.85-678319.42</f>
        <v>7305145.43</v>
      </c>
      <c r="O21" s="20">
        <f t="shared" si="1"/>
        <v>3924108064.5099998</v>
      </c>
      <c r="P21" s="20">
        <v>3965430752.46</v>
      </c>
      <c r="Q21" s="20">
        <v>243534824.17</v>
      </c>
      <c r="R21" s="18"/>
      <c r="W21" s="37" t="s">
        <v>49</v>
      </c>
      <c r="X21" s="25">
        <f t="shared" si="2"/>
        <v>3.92</v>
      </c>
      <c r="Y21" s="25">
        <f t="shared" si="3"/>
        <v>3.96</v>
      </c>
      <c r="Z21" s="25">
        <f t="shared" si="3"/>
        <v>0.24</v>
      </c>
      <c r="AC21" s="27"/>
      <c r="AD21" s="28"/>
    </row>
    <row r="22" spans="1:30" ht="12.75">
      <c r="A22" s="19">
        <v>1967</v>
      </c>
      <c r="B22" s="20">
        <f>3137122764.38-262871.71-12148804.05+640.38-159000000-31400000</f>
        <v>2934311729</v>
      </c>
      <c r="C22" s="20">
        <v>0</v>
      </c>
      <c r="D22" s="20">
        <v>190006073.95</v>
      </c>
      <c r="E22" s="20">
        <f t="shared" si="0"/>
        <v>3124317802.95</v>
      </c>
      <c r="F22" s="20">
        <v>481951255.36</v>
      </c>
      <c r="G22" s="20">
        <v>33282230.13</v>
      </c>
      <c r="H22" s="20">
        <v>28043311.1</v>
      </c>
      <c r="I22" s="20">
        <v>524548804.19</v>
      </c>
      <c r="J22" s="20">
        <v>111534136.61</v>
      </c>
      <c r="K22" s="20">
        <f>105029600.09-37000000</f>
        <v>68029600.09</v>
      </c>
      <c r="L22" s="20">
        <v>69155006.11</v>
      </c>
      <c r="M22" s="20">
        <v>4440862146.54</v>
      </c>
      <c r="N22" s="20">
        <v>14225035.15</v>
      </c>
      <c r="O22" s="20">
        <f t="shared" si="1"/>
        <v>4455087181.69</v>
      </c>
      <c r="P22" s="20">
        <v>3973425968.47</v>
      </c>
      <c r="Q22" s="20">
        <v>725196037.39</v>
      </c>
      <c r="R22" s="18"/>
      <c r="W22" s="37" t="s">
        <v>50</v>
      </c>
      <c r="X22" s="25">
        <f t="shared" si="2"/>
        <v>4.45</v>
      </c>
      <c r="Y22" s="25">
        <f t="shared" si="3"/>
        <v>3.97</v>
      </c>
      <c r="Z22" s="25">
        <f t="shared" si="3"/>
        <v>0.72</v>
      </c>
      <c r="AC22" s="27"/>
      <c r="AD22" s="28"/>
    </row>
    <row r="23" spans="1:30" ht="12.75">
      <c r="A23" s="19">
        <v>1968</v>
      </c>
      <c r="B23" s="20">
        <f>3032240248.88-88013951.61-26449555.67-30000000+15097772</f>
        <v>2902874513.6</v>
      </c>
      <c r="C23" s="20">
        <v>0</v>
      </c>
      <c r="D23" s="20">
        <v>208173260.33</v>
      </c>
      <c r="E23" s="20">
        <f t="shared" si="0"/>
        <v>3111047773.93</v>
      </c>
      <c r="F23" s="20">
        <v>468283423.7</v>
      </c>
      <c r="G23" s="20">
        <v>18604464.92</v>
      </c>
      <c r="H23" s="20">
        <v>25362170.98</v>
      </c>
      <c r="I23" s="20">
        <v>509957905.14</v>
      </c>
      <c r="J23" s="20">
        <v>98494868.5</v>
      </c>
      <c r="K23" s="20">
        <f>81637490.71+76015.28</f>
        <v>81713505.99</v>
      </c>
      <c r="L23" s="20">
        <v>80519582.45</v>
      </c>
      <c r="M23" s="20">
        <f>4378885923.61+15097772</f>
        <v>4393983695.61</v>
      </c>
      <c r="N23" s="20">
        <v>33502526.99</v>
      </c>
      <c r="O23" s="20">
        <f t="shared" si="1"/>
        <v>4427486222.599999</v>
      </c>
      <c r="P23" s="20">
        <f>4170961430.74+149018.9</f>
        <v>4171110449.64</v>
      </c>
      <c r="Q23" s="20">
        <v>981571810.35</v>
      </c>
      <c r="R23" s="18"/>
      <c r="W23" s="37" t="s">
        <v>51</v>
      </c>
      <c r="X23" s="25">
        <f t="shared" si="2"/>
        <v>4.42</v>
      </c>
      <c r="Y23" s="25">
        <f t="shared" si="3"/>
        <v>4.17</v>
      </c>
      <c r="Z23" s="25">
        <f t="shared" si="3"/>
        <v>0.98</v>
      </c>
      <c r="AC23" s="27"/>
      <c r="AD23" s="28"/>
    </row>
    <row r="24" spans="1:30" ht="12.75">
      <c r="A24" s="19">
        <v>1969</v>
      </c>
      <c r="B24" s="20">
        <f>3198622300.1-170157316.14-38557358.09-28000000</f>
        <v>2961907625.87</v>
      </c>
      <c r="C24" s="20">
        <v>0</v>
      </c>
      <c r="D24" s="20">
        <v>218905812.73</v>
      </c>
      <c r="E24" s="20">
        <f t="shared" si="0"/>
        <v>3180813438.6</v>
      </c>
      <c r="F24" s="20">
        <v>551425182.08</v>
      </c>
      <c r="G24" s="20">
        <v>28284935.23</v>
      </c>
      <c r="H24" s="20">
        <v>30107889.59</v>
      </c>
      <c r="I24" s="20">
        <v>540846459.59</v>
      </c>
      <c r="J24" s="20">
        <v>129319715.63</v>
      </c>
      <c r="K24" s="20">
        <f>97881663.41-15039928.79</f>
        <v>82841734.62</v>
      </c>
      <c r="L24" s="20">
        <v>93536699.73</v>
      </c>
      <c r="M24" s="20">
        <v>4637176055.07</v>
      </c>
      <c r="N24" s="20">
        <v>52654293.03</v>
      </c>
      <c r="O24" s="20">
        <f t="shared" si="1"/>
        <v>4689830348.099999</v>
      </c>
      <c r="P24" s="20">
        <f>4150994421.64-419121.39</f>
        <v>4150575300.25</v>
      </c>
      <c r="Q24" s="20">
        <v>1520826858.2</v>
      </c>
      <c r="R24" s="18"/>
      <c r="W24" s="37" t="s">
        <v>52</v>
      </c>
      <c r="X24" s="25">
        <f t="shared" si="2"/>
        <v>4.68</v>
      </c>
      <c r="Y24" s="25">
        <f t="shared" si="3"/>
        <v>4.15</v>
      </c>
      <c r="Z24" s="25">
        <f t="shared" si="3"/>
        <v>1.52</v>
      </c>
      <c r="AC24" s="27"/>
      <c r="AD24" s="28"/>
    </row>
    <row r="25" spans="1:30" ht="12.75">
      <c r="A25" s="19">
        <v>1970</v>
      </c>
      <c r="B25" s="20">
        <f>3474592099.26-833095.59-16396432.48-28000000</f>
        <v>3429362571.19</v>
      </c>
      <c r="C25" s="20">
        <v>0</v>
      </c>
      <c r="D25" s="20">
        <v>263164835.27</v>
      </c>
      <c r="E25" s="20">
        <f t="shared" si="0"/>
        <v>3692527406.46</v>
      </c>
      <c r="F25" s="20">
        <v>588478594.86</v>
      </c>
      <c r="G25" s="20">
        <v>26126234.47</v>
      </c>
      <c r="H25" s="20">
        <v>28031575.42</v>
      </c>
      <c r="I25" s="20">
        <v>699926670.44</v>
      </c>
      <c r="J25" s="20">
        <v>136805692.16</v>
      </c>
      <c r="K25" s="20">
        <f>109365603.19-14844297.12</f>
        <v>94521306.07</v>
      </c>
      <c r="L25" s="20">
        <v>87209453</v>
      </c>
      <c r="M25" s="20">
        <v>5353626932.88</v>
      </c>
      <c r="N25" s="20">
        <v>115409814.76</v>
      </c>
      <c r="O25" s="20">
        <f t="shared" si="1"/>
        <v>5469036747.64</v>
      </c>
      <c r="P25" s="20">
        <f>4381613816.16-3360910.69</f>
        <v>4378252905.47</v>
      </c>
      <c r="Q25" s="20">
        <v>2611610700.37</v>
      </c>
      <c r="R25" s="18"/>
      <c r="W25" s="37" t="s">
        <v>53</v>
      </c>
      <c r="X25" s="25">
        <f t="shared" si="2"/>
        <v>5.46</v>
      </c>
      <c r="Y25" s="25">
        <f t="shared" si="3"/>
        <v>4.37</v>
      </c>
      <c r="Z25" s="25">
        <f t="shared" si="3"/>
        <v>2.61</v>
      </c>
      <c r="AC25" s="27"/>
      <c r="AD25" s="28"/>
    </row>
    <row r="26" spans="1:30" ht="12.75">
      <c r="A26" s="19">
        <v>1971</v>
      </c>
      <c r="B26" s="20">
        <f>3770421051.71-82687186.27-19584610.39-28000000</f>
        <v>3640149255.05</v>
      </c>
      <c r="C26" s="20">
        <v>0</v>
      </c>
      <c r="D26" s="20">
        <v>294207514.2</v>
      </c>
      <c r="E26" s="20">
        <f t="shared" si="0"/>
        <v>3934356769.25</v>
      </c>
      <c r="F26" s="20">
        <v>576445734.19</v>
      </c>
      <c r="G26" s="20">
        <v>22909460.1</v>
      </c>
      <c r="H26" s="20">
        <v>30391885.08</v>
      </c>
      <c r="I26" s="20">
        <v>692459037.1</v>
      </c>
      <c r="J26" s="20">
        <v>148029971.06</v>
      </c>
      <c r="K26" s="20">
        <f>72030194.87-20240619.45</f>
        <v>51789575.42</v>
      </c>
      <c r="L26" s="20">
        <v>85173443.65</v>
      </c>
      <c r="M26" s="20">
        <v>5541555875.85</v>
      </c>
      <c r="N26" s="20">
        <v>183877299.5</v>
      </c>
      <c r="O26" s="20">
        <f t="shared" si="1"/>
        <v>5725433175.35</v>
      </c>
      <c r="P26" s="20">
        <v>4685348326.54</v>
      </c>
      <c r="Q26" s="20">
        <v>3651695549.18</v>
      </c>
      <c r="R26" s="18"/>
      <c r="W26" s="37" t="s">
        <v>54</v>
      </c>
      <c r="X26" s="25">
        <f t="shared" si="2"/>
        <v>5.72</v>
      </c>
      <c r="Y26" s="25">
        <f t="shared" si="3"/>
        <v>4.68</v>
      </c>
      <c r="Z26" s="25">
        <f t="shared" si="3"/>
        <v>3.65</v>
      </c>
      <c r="AC26" s="27"/>
      <c r="AD26" s="28"/>
    </row>
    <row r="27" spans="1:30" ht="12.75">
      <c r="A27" s="19">
        <v>1972</v>
      </c>
      <c r="B27" s="20">
        <f>3755720551.87-103632855.68-22731614.6-28000000</f>
        <v>3601356081.59</v>
      </c>
      <c r="C27" s="20">
        <v>0</v>
      </c>
      <c r="D27" s="20">
        <v>291857503.43</v>
      </c>
      <c r="E27" s="20">
        <f t="shared" si="0"/>
        <v>3893213585.02</v>
      </c>
      <c r="F27" s="20">
        <v>631746410.89</v>
      </c>
      <c r="G27" s="20">
        <v>23820423.35</v>
      </c>
      <c r="H27" s="20">
        <v>26816913.56</v>
      </c>
      <c r="I27" s="20">
        <f>605226338.33-168736244.4</f>
        <v>436490093.93000007</v>
      </c>
      <c r="J27" s="20">
        <v>150506546.76</v>
      </c>
      <c r="K27" s="20">
        <f>90744804.71-17609548.64</f>
        <v>73135256.07</v>
      </c>
      <c r="L27" s="20">
        <v>86693376.83</v>
      </c>
      <c r="M27" s="20">
        <v>5322422606.41</v>
      </c>
      <c r="N27" s="20">
        <v>205629972.49</v>
      </c>
      <c r="O27" s="20">
        <f t="shared" si="1"/>
        <v>5528052578.9</v>
      </c>
      <c r="P27" s="20">
        <v>4690217383.15</v>
      </c>
      <c r="Q27" s="20">
        <v>4489530744.93</v>
      </c>
      <c r="R27" s="18"/>
      <c r="W27" s="37" t="s">
        <v>55</v>
      </c>
      <c r="X27" s="25">
        <f t="shared" si="2"/>
        <v>5.52</v>
      </c>
      <c r="Y27" s="25">
        <f t="shared" si="3"/>
        <v>4.69</v>
      </c>
      <c r="Z27" s="25">
        <f t="shared" si="3"/>
        <v>4.48</v>
      </c>
      <c r="AC27" s="27"/>
      <c r="AD27" s="28"/>
    </row>
    <row r="28" spans="1:30" ht="12.75">
      <c r="A28" s="19">
        <v>1973</v>
      </c>
      <c r="B28" s="20">
        <f>3978624653.91-102286815.04-24809996.44-30000000</f>
        <v>3821527842.43</v>
      </c>
      <c r="C28" s="20">
        <v>0</v>
      </c>
      <c r="D28" s="20">
        <v>337138521.61</v>
      </c>
      <c r="E28" s="20">
        <f t="shared" si="0"/>
        <v>4158666364.04</v>
      </c>
      <c r="F28" s="20">
        <v>720770690.09</v>
      </c>
      <c r="G28" s="20">
        <v>28803074.46</v>
      </c>
      <c r="H28" s="20">
        <v>31483217.71</v>
      </c>
      <c r="I28" s="20">
        <f>386479844.49-6084594.07</f>
        <v>380395250.42</v>
      </c>
      <c r="J28" s="20">
        <v>161582832.78</v>
      </c>
      <c r="K28" s="20">
        <f>99345672.86-19321039.49</f>
        <v>80024633.37</v>
      </c>
      <c r="L28" s="20">
        <v>103727656.07</v>
      </c>
      <c r="M28" s="20">
        <v>5665453718.94</v>
      </c>
      <c r="N28" s="20">
        <v>246740126.02</v>
      </c>
      <c r="O28" s="20">
        <f t="shared" si="1"/>
        <v>5912193844.96</v>
      </c>
      <c r="P28" s="20">
        <v>4811036161.18</v>
      </c>
      <c r="Q28" s="20">
        <v>5590688428.71</v>
      </c>
      <c r="R28" s="18"/>
      <c r="W28" s="37" t="s">
        <v>56</v>
      </c>
      <c r="X28" s="25">
        <f t="shared" si="2"/>
        <v>5.91</v>
      </c>
      <c r="Y28" s="25">
        <f aca="true" t="shared" si="4" ref="Y28:Z31">TRUNC((P28)/1000000000,2)</f>
        <v>4.81</v>
      </c>
      <c r="Z28" s="25">
        <f t="shared" si="4"/>
        <v>5.59</v>
      </c>
      <c r="AC28" s="27"/>
      <c r="AD28" s="28"/>
    </row>
    <row r="29" spans="1:30" ht="12.75">
      <c r="A29" s="19">
        <v>1974</v>
      </c>
      <c r="B29" s="20">
        <f>4039793806.39-109556199.18+6374960-30000000</f>
        <v>3906612567.21</v>
      </c>
      <c r="C29" s="20">
        <v>0</v>
      </c>
      <c r="D29" s="20">
        <v>394681829.88</v>
      </c>
      <c r="E29" s="20">
        <f t="shared" si="0"/>
        <v>4301294397.09</v>
      </c>
      <c r="F29" s="20">
        <v>837716336.09</v>
      </c>
      <c r="G29" s="20">
        <v>33382760</v>
      </c>
      <c r="H29" s="20">
        <v>24130781.15</v>
      </c>
      <c r="I29" s="20">
        <v>614132357.91</v>
      </c>
      <c r="J29" s="20">
        <v>225192735.56</v>
      </c>
      <c r="K29" s="20">
        <f>114221526.85-20217302.12</f>
        <v>94004224.72999999</v>
      </c>
      <c r="L29" s="20">
        <v>130455216</v>
      </c>
      <c r="M29" s="20">
        <v>6260308808.53</v>
      </c>
      <c r="N29" s="20">
        <v>414667245</v>
      </c>
      <c r="O29" s="20">
        <f t="shared" si="1"/>
        <v>6674976053.53</v>
      </c>
      <c r="P29" s="20">
        <f>4575869585.29+23143134.21</f>
        <v>4599012719.5</v>
      </c>
      <c r="Q29" s="20">
        <v>7666651762.74</v>
      </c>
      <c r="R29" s="18"/>
      <c r="W29" s="37" t="s">
        <v>57</v>
      </c>
      <c r="X29" s="25">
        <f t="shared" si="2"/>
        <v>6.67</v>
      </c>
      <c r="Y29" s="25">
        <f t="shared" si="4"/>
        <v>4.59</v>
      </c>
      <c r="Z29" s="25">
        <f t="shared" si="4"/>
        <v>7.66</v>
      </c>
      <c r="AC29" s="27"/>
      <c r="AD29" s="28"/>
    </row>
    <row r="30" spans="1:30" ht="12.75">
      <c r="A30" s="19">
        <v>1975</v>
      </c>
      <c r="B30" s="20">
        <f>4097510631.87-128410745.5-2277629.75-29000000</f>
        <v>3937822256.62</v>
      </c>
      <c r="C30" s="20">
        <v>0</v>
      </c>
      <c r="D30" s="20">
        <v>402338663.25</v>
      </c>
      <c r="E30" s="20">
        <f t="shared" si="0"/>
        <v>4340160919.87</v>
      </c>
      <c r="F30" s="20">
        <v>744306224</v>
      </c>
      <c r="G30" s="20">
        <v>32813987</v>
      </c>
      <c r="H30" s="20">
        <v>20355554</v>
      </c>
      <c r="I30" s="20">
        <v>601623192</v>
      </c>
      <c r="J30" s="20">
        <v>221458833.78</v>
      </c>
      <c r="K30" s="20">
        <f>99678307.18-15391439.68</f>
        <v>84286867.5</v>
      </c>
      <c r="L30" s="20">
        <v>143167371</v>
      </c>
      <c r="M30" s="20">
        <v>6188172949.15</v>
      </c>
      <c r="N30" s="20">
        <v>585654147.38</v>
      </c>
      <c r="O30" s="20">
        <f t="shared" si="1"/>
        <v>6773827096.53</v>
      </c>
      <c r="P30" s="20">
        <v>4843089343.06</v>
      </c>
      <c r="Q30" s="20">
        <v>9597389516.21</v>
      </c>
      <c r="R30" s="18"/>
      <c r="W30" s="37" t="s">
        <v>58</v>
      </c>
      <c r="X30" s="25">
        <f t="shared" si="2"/>
        <v>6.77</v>
      </c>
      <c r="Y30" s="25">
        <f t="shared" si="4"/>
        <v>4.84</v>
      </c>
      <c r="Z30" s="25">
        <f t="shared" si="4"/>
        <v>9.59</v>
      </c>
      <c r="AC30" s="27"/>
      <c r="AD30" s="28"/>
    </row>
    <row r="31" spans="1:30" ht="12.75">
      <c r="A31" s="19">
        <v>1976</v>
      </c>
      <c r="B31" s="20">
        <f>4027989087-122116736.24-2776871.12-31000000</f>
        <v>3872095479.6400003</v>
      </c>
      <c r="C31" s="20">
        <v>0</v>
      </c>
      <c r="D31" s="20">
        <v>346509091</v>
      </c>
      <c r="E31" s="20">
        <f t="shared" si="0"/>
        <v>4218604570.6400003</v>
      </c>
      <c r="F31" s="20">
        <v>545922236</v>
      </c>
      <c r="G31" s="20">
        <v>24965931</v>
      </c>
      <c r="H31" s="20">
        <v>23351843</v>
      </c>
      <c r="I31" s="20">
        <v>219228765</v>
      </c>
      <c r="J31" s="20">
        <v>209271007.35</v>
      </c>
      <c r="K31" s="20">
        <f>83106150-27141508.31</f>
        <v>55964641.69</v>
      </c>
      <c r="L31" s="20">
        <v>115840991</v>
      </c>
      <c r="M31" s="20">
        <v>5413149985.68</v>
      </c>
      <c r="N31" s="20">
        <v>586713896.28</v>
      </c>
      <c r="O31" s="20">
        <f t="shared" si="1"/>
        <v>5999863881.96</v>
      </c>
      <c r="P31" s="20">
        <v>6520603489.92</v>
      </c>
      <c r="Q31" s="20">
        <v>9076649908.25</v>
      </c>
      <c r="R31" s="18"/>
      <c r="W31" s="37" t="s">
        <v>59</v>
      </c>
      <c r="X31" s="25">
        <f t="shared" si="2"/>
        <v>5.99</v>
      </c>
      <c r="Y31" s="25">
        <f t="shared" si="4"/>
        <v>6.52</v>
      </c>
      <c r="Z31" s="25">
        <f t="shared" si="4"/>
        <v>9.07</v>
      </c>
      <c r="AC31" s="27"/>
      <c r="AD31" s="28"/>
    </row>
    <row r="32" spans="1:30" ht="12.75">
      <c r="A32" s="19">
        <v>1977</v>
      </c>
      <c r="B32" s="20">
        <f>4396642992-106443549.12-3615530.4-33000000</f>
        <v>4253583912.48</v>
      </c>
      <c r="C32" s="20">
        <v>0</v>
      </c>
      <c r="D32" s="20">
        <v>453814451</v>
      </c>
      <c r="E32" s="20">
        <f t="shared" si="0"/>
        <v>4707398363.48</v>
      </c>
      <c r="F32" s="20">
        <v>757994796</v>
      </c>
      <c r="G32" s="20">
        <v>30059082</v>
      </c>
      <c r="H32" s="20">
        <v>24916362</v>
      </c>
      <c r="I32" s="20">
        <v>708127031</v>
      </c>
      <c r="J32" s="20">
        <v>239699940</v>
      </c>
      <c r="K32" s="20">
        <f>101389865-25068630.52</f>
        <v>76321234.48</v>
      </c>
      <c r="L32" s="20">
        <v>164713781</v>
      </c>
      <c r="M32" s="20">
        <v>6709230589.96</v>
      </c>
      <c r="N32" s="20">
        <v>593068331.84</v>
      </c>
      <c r="O32" s="20">
        <f t="shared" si="1"/>
        <v>7302298921.8</v>
      </c>
      <c r="P32" s="20">
        <v>6147175468.11</v>
      </c>
      <c r="Q32" s="20">
        <v>10163645957.79</v>
      </c>
      <c r="R32" s="18"/>
      <c r="W32" s="37" t="s">
        <v>60</v>
      </c>
      <c r="X32" s="25">
        <f aca="true" t="shared" si="5" ref="X32:X64">TRUNC((O32)/1000000000,2)</f>
        <v>7.3</v>
      </c>
      <c r="Y32" s="25">
        <f aca="true" t="shared" si="6" ref="Y32:Y64">TRUNC((P32)/1000000000,2)</f>
        <v>6.14</v>
      </c>
      <c r="Z32" s="25">
        <f aca="true" t="shared" si="7" ref="Z32:Z64">TRUNC((Q32)/1000000000,2)</f>
        <v>10.16</v>
      </c>
      <c r="AC32" s="27"/>
      <c r="AD32" s="28"/>
    </row>
    <row r="33" spans="1:30" ht="12.75">
      <c r="A33" s="19">
        <v>1978</v>
      </c>
      <c r="B33" s="20">
        <f>4383396768.28-106572948.78-5068034.8-34000000</f>
        <v>4237755784.6999993</v>
      </c>
      <c r="C33" s="20">
        <v>0</v>
      </c>
      <c r="D33" s="20">
        <v>484611259.72</v>
      </c>
      <c r="E33" s="20">
        <f t="shared" si="0"/>
        <v>4722367044.419999</v>
      </c>
      <c r="F33" s="20">
        <v>761476190</v>
      </c>
      <c r="G33" s="20">
        <v>31453708</v>
      </c>
      <c r="H33" s="20">
        <v>25423617</v>
      </c>
      <c r="I33" s="20">
        <v>850518948</v>
      </c>
      <c r="J33" s="20">
        <v>245545736.86</v>
      </c>
      <c r="K33" s="20">
        <f>105986832-25806302.43</f>
        <v>80180529.57</v>
      </c>
      <c r="L33" s="20">
        <v>187468642</v>
      </c>
      <c r="M33" s="20">
        <v>6904434415.85</v>
      </c>
      <c r="N33" s="20">
        <v>662159976.98</v>
      </c>
      <c r="O33" s="20">
        <f t="shared" si="1"/>
        <v>7566594392.83</v>
      </c>
      <c r="P33" s="20">
        <v>6057737190.92</v>
      </c>
      <c r="Q33" s="20">
        <v>11672503159.7</v>
      </c>
      <c r="R33" s="18"/>
      <c r="W33" s="37" t="s">
        <v>61</v>
      </c>
      <c r="X33" s="25">
        <f t="shared" si="5"/>
        <v>7.56</v>
      </c>
      <c r="Y33" s="25">
        <f t="shared" si="6"/>
        <v>6.05</v>
      </c>
      <c r="Z33" s="25">
        <f t="shared" si="7"/>
        <v>11.67</v>
      </c>
      <c r="AC33" s="27"/>
      <c r="AD33" s="28"/>
    </row>
    <row r="34" spans="1:30" ht="12.75">
      <c r="A34" s="19">
        <v>1979</v>
      </c>
      <c r="B34" s="20">
        <f>4478531276.92-103769016-4106935-2750-33562978.13</f>
        <v>4337089597.79</v>
      </c>
      <c r="C34" s="20">
        <v>0</v>
      </c>
      <c r="D34" s="20">
        <v>497259547</v>
      </c>
      <c r="E34" s="20">
        <f t="shared" si="0"/>
        <v>4834349144.79</v>
      </c>
      <c r="F34" s="20">
        <v>808760071</v>
      </c>
      <c r="G34" s="20">
        <v>37732793</v>
      </c>
      <c r="H34" s="20">
        <v>20456658</v>
      </c>
      <c r="I34" s="20">
        <v>943579447</v>
      </c>
      <c r="J34" s="20">
        <v>235332571</v>
      </c>
      <c r="K34" s="20">
        <f>109415321-25543752</f>
        <v>83871569</v>
      </c>
      <c r="L34" s="20">
        <v>224730056</v>
      </c>
      <c r="M34" s="20">
        <v>7188812309.79</v>
      </c>
      <c r="N34" s="20">
        <v>857285830.44</v>
      </c>
      <c r="O34" s="20">
        <f t="shared" si="1"/>
        <v>8046098140.23</v>
      </c>
      <c r="P34" s="20">
        <v>7154140900.81</v>
      </c>
      <c r="Q34" s="20">
        <v>12564460399.12</v>
      </c>
      <c r="R34" s="18"/>
      <c r="S34" s="21"/>
      <c r="W34" s="37" t="s">
        <v>62</v>
      </c>
      <c r="X34" s="25">
        <f t="shared" si="5"/>
        <v>8.04</v>
      </c>
      <c r="Y34" s="25">
        <f t="shared" si="6"/>
        <v>7.15</v>
      </c>
      <c r="Z34" s="25">
        <f t="shared" si="7"/>
        <v>12.56</v>
      </c>
      <c r="AC34" s="27"/>
      <c r="AD34" s="28"/>
    </row>
    <row r="35" spans="1:30" ht="12.75">
      <c r="A35" s="19">
        <v>1980</v>
      </c>
      <c r="B35" s="20">
        <f>4041677142-104570237-4792772-4404426-30850246.87</f>
        <v>3897059460.13</v>
      </c>
      <c r="C35" s="20">
        <v>0</v>
      </c>
      <c r="D35" s="20">
        <v>522553394</v>
      </c>
      <c r="E35" s="20">
        <f t="shared" si="0"/>
        <v>4419612854.13</v>
      </c>
      <c r="F35" s="20">
        <v>633298105</v>
      </c>
      <c r="G35" s="20">
        <v>26238020</v>
      </c>
      <c r="H35" s="20">
        <v>21094289</v>
      </c>
      <c r="I35" s="20">
        <v>912200403</v>
      </c>
      <c r="J35" s="20">
        <v>277419075</v>
      </c>
      <c r="K35" s="20">
        <f>104702343-27800920</f>
        <v>76901423</v>
      </c>
      <c r="L35" s="20">
        <v>253061739</v>
      </c>
      <c r="M35" s="20">
        <v>6619825908.13</v>
      </c>
      <c r="N35" s="20">
        <v>1027483810.77</v>
      </c>
      <c r="O35" s="20">
        <f t="shared" si="1"/>
        <v>7647309718.9</v>
      </c>
      <c r="P35" s="20">
        <v>9212310599.76</v>
      </c>
      <c r="Q35" s="20">
        <v>10999459518.26</v>
      </c>
      <c r="R35" s="18"/>
      <c r="S35" s="21"/>
      <c r="W35" s="37" t="s">
        <v>63</v>
      </c>
      <c r="X35" s="25">
        <f t="shared" si="5"/>
        <v>7.64</v>
      </c>
      <c r="Y35" s="25">
        <f t="shared" si="6"/>
        <v>9.21</v>
      </c>
      <c r="Z35" s="25">
        <f t="shared" si="7"/>
        <v>10.99</v>
      </c>
      <c r="AC35" s="27"/>
      <c r="AD35" s="28"/>
    </row>
    <row r="36" spans="1:30" ht="12.75">
      <c r="A36" s="19">
        <v>1981</v>
      </c>
      <c r="B36" s="20">
        <f>4047114647.26-117063907-6135746-744845-1719579-1398889-11000000-20000000</f>
        <v>3889051681.26</v>
      </c>
      <c r="C36" s="20">
        <v>0</v>
      </c>
      <c r="D36" s="20">
        <v>560971859</v>
      </c>
      <c r="E36" s="20">
        <f t="shared" si="0"/>
        <v>4450023540.26</v>
      </c>
      <c r="F36" s="20">
        <v>599418474</v>
      </c>
      <c r="G36" s="20">
        <v>25965511</v>
      </c>
      <c r="H36" s="20">
        <v>19093944</v>
      </c>
      <c r="I36" s="20">
        <v>664227822</v>
      </c>
      <c r="J36" s="20">
        <v>236653939</v>
      </c>
      <c r="K36" s="20">
        <f>101222368-25389992</f>
        <v>75832376</v>
      </c>
      <c r="L36" s="20">
        <v>233710542</v>
      </c>
      <c r="M36" s="20">
        <v>6304926148.26</v>
      </c>
      <c r="N36" s="20">
        <v>1128819104.52</v>
      </c>
      <c r="O36" s="20">
        <f t="shared" si="1"/>
        <v>7433745252.780001</v>
      </c>
      <c r="P36" s="20">
        <v>9173761959.7</v>
      </c>
      <c r="Q36" s="20">
        <v>9259442811.34</v>
      </c>
      <c r="R36" s="18"/>
      <c r="S36" s="21"/>
      <c r="W36" s="37" t="s">
        <v>64</v>
      </c>
      <c r="X36" s="25">
        <f t="shared" si="5"/>
        <v>7.43</v>
      </c>
      <c r="Y36" s="25">
        <f t="shared" si="6"/>
        <v>9.17</v>
      </c>
      <c r="Z36" s="25">
        <f t="shared" si="7"/>
        <v>9.25</v>
      </c>
      <c r="AC36" s="27"/>
      <c r="AD36" s="28"/>
    </row>
    <row r="37" spans="1:30" ht="12.75">
      <c r="A37" s="19">
        <v>1982</v>
      </c>
      <c r="B37" s="20">
        <f>4257517233-85074993-6393503-4111048-2710010-6300000-30300000-2613606</f>
        <v>4120014073</v>
      </c>
      <c r="C37" s="20">
        <v>0</v>
      </c>
      <c r="D37" s="20">
        <v>594082636</v>
      </c>
      <c r="E37" s="20">
        <f t="shared" si="0"/>
        <v>4714096709</v>
      </c>
      <c r="F37" s="20">
        <v>625895891</v>
      </c>
      <c r="G37" s="20">
        <v>22551899</v>
      </c>
      <c r="H37" s="20">
        <v>23401874</v>
      </c>
      <c r="I37" s="20">
        <v>724563163</v>
      </c>
      <c r="J37" s="20">
        <v>332813058</v>
      </c>
      <c r="K37" s="20">
        <f>105281570-29100900</f>
        <v>76180670</v>
      </c>
      <c r="L37" s="20">
        <v>224175771</v>
      </c>
      <c r="M37" s="20">
        <v>6743679035</v>
      </c>
      <c r="N37" s="20">
        <v>1078501606.75</v>
      </c>
      <c r="O37" s="20">
        <f t="shared" si="1"/>
        <v>7822180641.75</v>
      </c>
      <c r="P37" s="20">
        <v>8035206021.98</v>
      </c>
      <c r="Q37" s="20">
        <v>9046417431.11</v>
      </c>
      <c r="R37" s="18"/>
      <c r="S37" s="21"/>
      <c r="W37" s="37" t="s">
        <v>65</v>
      </c>
      <c r="X37" s="25">
        <f t="shared" si="5"/>
        <v>7.82</v>
      </c>
      <c r="Y37" s="25">
        <f t="shared" si="6"/>
        <v>8.03</v>
      </c>
      <c r="Z37" s="25">
        <f t="shared" si="7"/>
        <v>9.04</v>
      </c>
      <c r="AC37" s="27"/>
      <c r="AD37" s="28"/>
    </row>
    <row r="38" spans="1:30" ht="12.75">
      <c r="A38" s="19">
        <v>1983</v>
      </c>
      <c r="B38" s="20">
        <f>5710082341-37537865+700271-2355546-1642081-2522598-5000000-49085000</f>
        <v>5612639522</v>
      </c>
      <c r="C38" s="20">
        <v>27573000</v>
      </c>
      <c r="D38" s="20">
        <v>889972886</v>
      </c>
      <c r="E38" s="20">
        <f t="shared" si="0"/>
        <v>6530185408</v>
      </c>
      <c r="F38" s="20">
        <v>577310677</v>
      </c>
      <c r="G38" s="20">
        <v>19559077</v>
      </c>
      <c r="H38" s="20">
        <v>19001223</v>
      </c>
      <c r="I38" s="20">
        <v>338403366</v>
      </c>
      <c r="J38" s="20">
        <v>235883304</v>
      </c>
      <c r="K38" s="20">
        <f>28063560-19216644</f>
        <v>8846916</v>
      </c>
      <c r="L38" s="20">
        <v>47825569</v>
      </c>
      <c r="M38" s="20">
        <v>7777015540</v>
      </c>
      <c r="N38" s="20">
        <v>1075821372.3</v>
      </c>
      <c r="O38" s="20">
        <f t="shared" si="1"/>
        <v>8852836912.3</v>
      </c>
      <c r="P38" s="20">
        <v>8837636816.88</v>
      </c>
      <c r="Q38" s="20">
        <v>9061617526.53</v>
      </c>
      <c r="R38" s="18"/>
      <c r="S38" s="21"/>
      <c r="W38" s="37" t="s">
        <v>66</v>
      </c>
      <c r="X38" s="25">
        <f t="shared" si="5"/>
        <v>8.85</v>
      </c>
      <c r="Y38" s="25">
        <f t="shared" si="6"/>
        <v>8.83</v>
      </c>
      <c r="Z38" s="25">
        <f t="shared" si="7"/>
        <v>9.06</v>
      </c>
      <c r="AC38" s="27"/>
      <c r="AD38" s="28"/>
    </row>
    <row r="39" spans="1:30" ht="12.75">
      <c r="A39" s="19">
        <v>1984</v>
      </c>
      <c r="B39" s="20">
        <f>7765951114-104973801-5053928-4792523-2219199-2224297-87396-16200000-68741000</f>
        <v>7561658970</v>
      </c>
      <c r="C39" s="20">
        <v>137282000</v>
      </c>
      <c r="D39" s="20">
        <v>1470063597</v>
      </c>
      <c r="E39" s="20">
        <f t="shared" si="0"/>
        <v>9169004567</v>
      </c>
      <c r="F39" s="20">
        <v>319747257</v>
      </c>
      <c r="G39" s="20">
        <v>8052049</v>
      </c>
      <c r="H39" s="20">
        <v>3800744</v>
      </c>
      <c r="I39" s="20">
        <v>864823533</v>
      </c>
      <c r="J39" s="20">
        <v>179665220</v>
      </c>
      <c r="K39" s="20">
        <f>-3786132-6369089</f>
        <v>-10155221</v>
      </c>
      <c r="L39" s="20">
        <v>-28359147</v>
      </c>
      <c r="M39" s="20">
        <v>10506579002</v>
      </c>
      <c r="N39" s="20">
        <v>1026534769.33</v>
      </c>
      <c r="O39" s="20">
        <f t="shared" si="1"/>
        <v>11533113771.33</v>
      </c>
      <c r="P39" s="20">
        <v>10384238574.42</v>
      </c>
      <c r="Q39" s="20">
        <v>10210492723.44</v>
      </c>
      <c r="R39" s="18"/>
      <c r="S39" s="21"/>
      <c r="W39" s="37" t="s">
        <v>67</v>
      </c>
      <c r="X39" s="25">
        <f t="shared" si="5"/>
        <v>11.53</v>
      </c>
      <c r="Y39" s="25">
        <f t="shared" si="6"/>
        <v>10.38</v>
      </c>
      <c r="Z39" s="25">
        <f t="shared" si="7"/>
        <v>10.21</v>
      </c>
      <c r="AC39" s="27"/>
      <c r="AD39" s="28"/>
    </row>
    <row r="40" spans="1:30" ht="12.75">
      <c r="A40" s="19">
        <v>1985</v>
      </c>
      <c r="B40" s="20">
        <f>7783313991-206320857+2100414-3169911-18220781-8636906-1521053-16845460-66882000</f>
        <v>7463817437</v>
      </c>
      <c r="C40" s="20">
        <v>123805000</v>
      </c>
      <c r="D40" s="20">
        <f>2390257545-165410930</f>
        <v>2224846615</v>
      </c>
      <c r="E40" s="20">
        <f t="shared" si="0"/>
        <v>9812469052</v>
      </c>
      <c r="F40" s="20">
        <v>223650891</v>
      </c>
      <c r="G40" s="20">
        <v>-860528</v>
      </c>
      <c r="H40" s="20">
        <v>-780953</v>
      </c>
      <c r="I40" s="20">
        <v>1395706427</v>
      </c>
      <c r="J40" s="20">
        <v>378591528</v>
      </c>
      <c r="K40" s="20">
        <f>-89692-9656890</f>
        <v>-9746582</v>
      </c>
      <c r="L40" s="20">
        <v>965343</v>
      </c>
      <c r="M40" s="20">
        <v>11799995178</v>
      </c>
      <c r="N40" s="20">
        <v>1106451412.74</v>
      </c>
      <c r="O40" s="20">
        <f t="shared" si="1"/>
        <v>12906446590.74</v>
      </c>
      <c r="P40" s="20">
        <v>12756149125.79</v>
      </c>
      <c r="Q40" s="20">
        <v>10360790188.39</v>
      </c>
      <c r="R40" s="18"/>
      <c r="S40" s="21"/>
      <c r="W40" s="37" t="s">
        <v>68</v>
      </c>
      <c r="X40" s="25">
        <f t="shared" si="5"/>
        <v>12.9</v>
      </c>
      <c r="Y40" s="25">
        <f t="shared" si="6"/>
        <v>12.75</v>
      </c>
      <c r="Z40" s="25">
        <f t="shared" si="7"/>
        <v>10.36</v>
      </c>
      <c r="AC40" s="27"/>
      <c r="AD40" s="28"/>
    </row>
    <row r="41" spans="1:30" ht="12.75">
      <c r="A41" s="19">
        <v>1986</v>
      </c>
      <c r="B41" s="20">
        <f>7905848009+3304152.69-170587540+67566290-1754870-7628600-930120-1915530-66309810-1702320-70301000</f>
        <v>7655588661.69</v>
      </c>
      <c r="C41" s="20">
        <v>145523000</v>
      </c>
      <c r="D41" s="20">
        <f>2479286207-26360850</f>
        <v>2452925357</v>
      </c>
      <c r="E41" s="20">
        <f t="shared" si="0"/>
        <v>10254037018.689999</v>
      </c>
      <c r="F41" s="20">
        <v>319544836</v>
      </c>
      <c r="G41" s="20">
        <v>685746</v>
      </c>
      <c r="H41" s="20">
        <v>-237569.41</v>
      </c>
      <c r="I41" s="20">
        <v>1144459575</v>
      </c>
      <c r="J41" s="20">
        <v>532790783</v>
      </c>
      <c r="K41" s="20">
        <v>-622119</v>
      </c>
      <c r="L41" s="20">
        <v>756969</v>
      </c>
      <c r="M41" s="20">
        <v>12251415239.28</v>
      </c>
      <c r="N41" s="20">
        <v>1054143137.41</v>
      </c>
      <c r="O41" s="20">
        <f t="shared" si="1"/>
        <v>13305558376.69</v>
      </c>
      <c r="P41" s="20">
        <v>14180359086.6</v>
      </c>
      <c r="Q41" s="20">
        <v>9485989478.48</v>
      </c>
      <c r="R41" s="18"/>
      <c r="S41" s="21"/>
      <c r="W41" s="37" t="s">
        <v>69</v>
      </c>
      <c r="X41" s="25">
        <f t="shared" si="5"/>
        <v>13.3</v>
      </c>
      <c r="Y41" s="25">
        <f t="shared" si="6"/>
        <v>14.18</v>
      </c>
      <c r="Z41" s="25">
        <f t="shared" si="7"/>
        <v>9.48</v>
      </c>
      <c r="AC41" s="27"/>
      <c r="AD41" s="28"/>
    </row>
    <row r="42" spans="1:30" ht="12.75">
      <c r="A42" s="19">
        <v>1987</v>
      </c>
      <c r="B42" s="20">
        <f>7624894622+1656890.5-27679000-1579480+1599210-9596670-614690-1734000-80101260-495910-99162000</f>
        <v>7407187712.5</v>
      </c>
      <c r="C42" s="20">
        <v>129786000</v>
      </c>
      <c r="D42" s="20">
        <f>2628082321-6684500</f>
        <v>2621397821</v>
      </c>
      <c r="E42" s="20">
        <f t="shared" si="0"/>
        <v>10158371533.5</v>
      </c>
      <c r="F42" s="20">
        <v>291668875</v>
      </c>
      <c r="G42" s="20">
        <v>-1784</v>
      </c>
      <c r="H42" s="20">
        <v>-84237</v>
      </c>
      <c r="I42" s="20">
        <v>723730783</v>
      </c>
      <c r="J42" s="20">
        <v>620196652</v>
      </c>
      <c r="K42" s="20">
        <v>47252.5</v>
      </c>
      <c r="L42" s="20">
        <v>-430855.5</v>
      </c>
      <c r="M42" s="20">
        <v>11793498219.5</v>
      </c>
      <c r="N42" s="20">
        <v>933909494.35</v>
      </c>
      <c r="O42" s="20">
        <f t="shared" si="1"/>
        <v>12727407713.85</v>
      </c>
      <c r="P42" s="20">
        <v>12801838207.71</v>
      </c>
      <c r="Q42" s="20">
        <v>9411558984.62</v>
      </c>
      <c r="R42" s="18"/>
      <c r="S42" s="21"/>
      <c r="W42" s="37" t="s">
        <v>70</v>
      </c>
      <c r="X42" s="25">
        <f t="shared" si="5"/>
        <v>12.72</v>
      </c>
      <c r="Y42" s="25">
        <f t="shared" si="6"/>
        <v>12.8</v>
      </c>
      <c r="Z42" s="25">
        <f t="shared" si="7"/>
        <v>9.41</v>
      </c>
      <c r="AC42" s="27"/>
      <c r="AD42" s="28"/>
    </row>
    <row r="43" spans="1:30" ht="12.75">
      <c r="A43" s="19">
        <v>1988</v>
      </c>
      <c r="B43" s="20">
        <f>8300712830+3461264.04-150152720+20501560-3081480-14163780-1922310-114283350-741540-106451000</f>
        <v>7933879474.04</v>
      </c>
      <c r="C43" s="20">
        <v>155997000</v>
      </c>
      <c r="D43" s="20">
        <f>2585699880-13739500-14678690</f>
        <v>2557281690</v>
      </c>
      <c r="E43" s="20">
        <f t="shared" si="0"/>
        <v>10647158164.04</v>
      </c>
      <c r="F43" s="20">
        <v>334074174</v>
      </c>
      <c r="G43" s="20">
        <v>0</v>
      </c>
      <c r="H43" s="20">
        <v>0</v>
      </c>
      <c r="I43" s="20">
        <v>1277156455</v>
      </c>
      <c r="J43" s="20">
        <v>581292710</v>
      </c>
      <c r="K43" s="20">
        <v>0</v>
      </c>
      <c r="L43" s="20">
        <v>-3254393</v>
      </c>
      <c r="M43" s="20">
        <v>12836427110.04</v>
      </c>
      <c r="N43" s="20">
        <v>808983509.51</v>
      </c>
      <c r="O43" s="20">
        <f t="shared" si="1"/>
        <v>13645410619.550001</v>
      </c>
      <c r="P43" s="20">
        <v>14037861947.55</v>
      </c>
      <c r="Q43" s="20">
        <v>9019107656.62</v>
      </c>
      <c r="R43" s="18"/>
      <c r="S43" s="21"/>
      <c r="W43" s="37" t="s">
        <v>71</v>
      </c>
      <c r="X43" s="25">
        <f t="shared" si="5"/>
        <v>13.64</v>
      </c>
      <c r="Y43" s="25">
        <f t="shared" si="6"/>
        <v>14.03</v>
      </c>
      <c r="Z43" s="25">
        <f t="shared" si="7"/>
        <v>9.01</v>
      </c>
      <c r="AC43" s="27"/>
      <c r="AD43" s="28"/>
    </row>
    <row r="44" spans="1:30" ht="12.75">
      <c r="A44" s="19">
        <v>1989</v>
      </c>
      <c r="B44" s="20">
        <f>8839340864+4278549.97-264871250-8062660-1647080-53156880-3964230-402024272-1696120-111917000</f>
        <v>7996279921.969999</v>
      </c>
      <c r="C44" s="20">
        <v>153080000</v>
      </c>
      <c r="D44" s="20">
        <f>4155620464-53527960-56172850</f>
        <v>4045919654</v>
      </c>
      <c r="E44" s="20">
        <f t="shared" si="0"/>
        <v>12195279575.97</v>
      </c>
      <c r="F44" s="20">
        <v>316044395</v>
      </c>
      <c r="G44" s="20">
        <v>0</v>
      </c>
      <c r="H44" s="20">
        <v>0</v>
      </c>
      <c r="I44" s="20">
        <v>1239536143</v>
      </c>
      <c r="J44" s="20">
        <v>608314063</v>
      </c>
      <c r="K44" s="20">
        <v>0</v>
      </c>
      <c r="L44" s="20">
        <v>-716187</v>
      </c>
      <c r="M44" s="20">
        <v>14358457989.97</v>
      </c>
      <c r="N44" s="20">
        <v>775913312.61</v>
      </c>
      <c r="O44" s="20">
        <f t="shared" si="1"/>
        <v>15134371302.58</v>
      </c>
      <c r="P44" s="20">
        <v>13602479989.28</v>
      </c>
      <c r="Q44" s="20">
        <v>10550998969.92</v>
      </c>
      <c r="R44" s="18"/>
      <c r="S44" s="21"/>
      <c r="T44" s="1"/>
      <c r="U44" s="21"/>
      <c r="W44" s="37" t="s">
        <v>72</v>
      </c>
      <c r="X44" s="25">
        <f t="shared" si="5"/>
        <v>15.13</v>
      </c>
      <c r="Y44" s="25">
        <f t="shared" si="6"/>
        <v>13.6</v>
      </c>
      <c r="Z44" s="25">
        <f t="shared" si="7"/>
        <v>10.55</v>
      </c>
      <c r="AC44" s="27"/>
      <c r="AD44" s="28"/>
    </row>
    <row r="45" spans="1:30" ht="12.75">
      <c r="A45" s="19">
        <v>1990</v>
      </c>
      <c r="B45" s="20">
        <f>8152048794+6846787.42-150496370-44190470-1667330-75940310-3189600-297650100-961900-113004000</f>
        <v>7471795501.42</v>
      </c>
      <c r="C45" s="20">
        <v>153539000</v>
      </c>
      <c r="D45" s="20">
        <f>2958594002-23728510-38603200</f>
        <v>2896262292</v>
      </c>
      <c r="E45" s="20">
        <f t="shared" si="0"/>
        <v>10521596793.42</v>
      </c>
      <c r="F45" s="20">
        <v>254793400</v>
      </c>
      <c r="G45" s="20">
        <v>0</v>
      </c>
      <c r="H45" s="20">
        <v>0</v>
      </c>
      <c r="I45" s="20">
        <v>1112260431</v>
      </c>
      <c r="J45" s="20">
        <v>583715541</v>
      </c>
      <c r="K45" s="20">
        <v>0</v>
      </c>
      <c r="L45" s="20">
        <v>-287716</v>
      </c>
      <c r="M45" s="20">
        <v>12472078449.42</v>
      </c>
      <c r="N45" s="20">
        <v>981070586.17</v>
      </c>
      <c r="O45" s="20">
        <f t="shared" si="1"/>
        <v>13453149035.59</v>
      </c>
      <c r="P45" s="20">
        <v>14375193897.76</v>
      </c>
      <c r="Q45" s="20">
        <v>9628954107.85</v>
      </c>
      <c r="R45" s="18"/>
      <c r="S45" s="21"/>
      <c r="W45" s="37" t="s">
        <v>73</v>
      </c>
      <c r="X45" s="25">
        <f t="shared" si="5"/>
        <v>13.45</v>
      </c>
      <c r="Y45" s="25">
        <f t="shared" si="6"/>
        <v>14.37</v>
      </c>
      <c r="Z45" s="25">
        <f t="shared" si="7"/>
        <v>9.62</v>
      </c>
      <c r="AC45" s="27"/>
      <c r="AD45" s="28"/>
    </row>
    <row r="46" spans="1:30" ht="12.75">
      <c r="A46" s="19">
        <v>1991</v>
      </c>
      <c r="B46" s="20">
        <f>9653999000-44609210-16313840-37350-112022000-1523000-152172950-7852700-179000000</f>
        <v>9140467950</v>
      </c>
      <c r="C46" s="20">
        <v>231415000</v>
      </c>
      <c r="D46" s="20">
        <f>3158236000-3560060-12781780</f>
        <v>3141894160</v>
      </c>
      <c r="E46" s="20">
        <f t="shared" si="0"/>
        <v>12513777110</v>
      </c>
      <c r="F46" s="20">
        <v>357070000</v>
      </c>
      <c r="G46" s="20">
        <v>0</v>
      </c>
      <c r="H46" s="20">
        <v>0</v>
      </c>
      <c r="I46" s="20">
        <v>1047422000</v>
      </c>
      <c r="J46" s="20">
        <v>574926220</v>
      </c>
      <c r="K46" s="20">
        <v>0</v>
      </c>
      <c r="L46" s="20">
        <v>515000</v>
      </c>
      <c r="M46" s="20">
        <v>14493710330</v>
      </c>
      <c r="N46" s="20">
        <v>809773418.54</v>
      </c>
      <c r="O46" s="20">
        <f t="shared" si="1"/>
        <v>15303483748.54</v>
      </c>
      <c r="P46" s="20">
        <v>14686495107.95</v>
      </c>
      <c r="Q46" s="20">
        <v>10245942748.44</v>
      </c>
      <c r="R46" s="18"/>
      <c r="S46" s="21"/>
      <c r="T46" s="1"/>
      <c r="U46" s="21"/>
      <c r="W46" s="37" t="s">
        <v>74</v>
      </c>
      <c r="X46" s="25">
        <f t="shared" si="5"/>
        <v>15.3</v>
      </c>
      <c r="Y46" s="25">
        <f t="shared" si="6"/>
        <v>14.68</v>
      </c>
      <c r="Z46" s="25">
        <f t="shared" si="7"/>
        <v>10.24</v>
      </c>
      <c r="AC46" s="27"/>
      <c r="AD46" s="28"/>
    </row>
    <row r="47" spans="1:30" ht="12.75">
      <c r="A47" s="19">
        <v>1992</v>
      </c>
      <c r="B47" s="20">
        <f>10917135132+12465611.1-194314570-56180910+3359840-21485580-196778760-24708060-193888000</f>
        <v>10245604703.1</v>
      </c>
      <c r="C47" s="20">
        <v>395496000</v>
      </c>
      <c r="D47" s="20">
        <f>3266727939+4932950</f>
        <v>3271660889</v>
      </c>
      <c r="E47" s="20">
        <f t="shared" si="0"/>
        <v>13912761592.1</v>
      </c>
      <c r="F47" s="20">
        <v>256683000</v>
      </c>
      <c r="G47" s="20">
        <v>0</v>
      </c>
      <c r="H47" s="20">
        <v>0</v>
      </c>
      <c r="I47" s="20">
        <v>874162000</v>
      </c>
      <c r="J47" s="20">
        <v>620008000</v>
      </c>
      <c r="K47" s="20">
        <v>0</v>
      </c>
      <c r="L47" s="20">
        <v>-28000</v>
      </c>
      <c r="M47" s="20">
        <v>15663586592.1</v>
      </c>
      <c r="N47" s="20">
        <v>908445817.23</v>
      </c>
      <c r="O47" s="20">
        <f t="shared" si="1"/>
        <v>16572032409.33</v>
      </c>
      <c r="P47" s="20">
        <v>15517751303.86</v>
      </c>
      <c r="Q47" s="20">
        <v>11300223854.51</v>
      </c>
      <c r="R47" s="18"/>
      <c r="S47" s="21"/>
      <c r="T47" s="1"/>
      <c r="U47" s="21"/>
      <c r="W47" s="37" t="s">
        <v>75</v>
      </c>
      <c r="X47" s="25">
        <f t="shared" si="5"/>
        <v>16.57</v>
      </c>
      <c r="Y47" s="25">
        <f t="shared" si="6"/>
        <v>15.51</v>
      </c>
      <c r="Z47" s="25">
        <f t="shared" si="7"/>
        <v>11.3</v>
      </c>
      <c r="AC47" s="27"/>
      <c r="AD47" s="28"/>
    </row>
    <row r="48" spans="1:30" ht="12.75">
      <c r="A48" s="19">
        <v>1993</v>
      </c>
      <c r="B48" s="20">
        <f>10711687600+14433075.05-3807827-95287005-207633000-30757255-3512430</f>
        <v>10385123158.05</v>
      </c>
      <c r="C48" s="20">
        <v>416409000</v>
      </c>
      <c r="D48" s="20">
        <f>3234518000+24636000-8360160-5389883-122560535-12225766</f>
        <v>3110617656</v>
      </c>
      <c r="E48" s="20">
        <f t="shared" si="0"/>
        <v>13912149814.05</v>
      </c>
      <c r="F48" s="20">
        <v>304482000</v>
      </c>
      <c r="G48" s="20">
        <v>0</v>
      </c>
      <c r="H48" s="20">
        <v>0</v>
      </c>
      <c r="I48" s="20">
        <v>1199291000</v>
      </c>
      <c r="J48" s="20">
        <v>630401000</v>
      </c>
      <c r="K48" s="20">
        <v>0</v>
      </c>
      <c r="L48" s="20">
        <v>0</v>
      </c>
      <c r="M48" s="20">
        <v>16046323814.05</v>
      </c>
      <c r="N48" s="20">
        <v>817492845.98</v>
      </c>
      <c r="O48" s="20">
        <f t="shared" si="1"/>
        <v>16863816660.029999</v>
      </c>
      <c r="P48" s="20">
        <v>16640748888.97</v>
      </c>
      <c r="Q48" s="20">
        <v>11523291625.57</v>
      </c>
      <c r="R48" s="18"/>
      <c r="S48" s="21"/>
      <c r="T48" s="1"/>
      <c r="U48" s="21"/>
      <c r="W48" s="37" t="s">
        <v>76</v>
      </c>
      <c r="X48" s="25">
        <f t="shared" si="5"/>
        <v>16.86</v>
      </c>
      <c r="Y48" s="25">
        <f t="shared" si="6"/>
        <v>16.64</v>
      </c>
      <c r="Z48" s="25">
        <f t="shared" si="7"/>
        <v>11.52</v>
      </c>
      <c r="AC48" s="27"/>
      <c r="AD48" s="28"/>
    </row>
    <row r="49" spans="1:30" ht="12.75">
      <c r="A49" s="19">
        <v>1994</v>
      </c>
      <c r="B49" s="20">
        <f>10366511800+8835883.3-167565369-206046000</f>
        <v>10001736314.3</v>
      </c>
      <c r="C49" s="20">
        <f>721356000-29858598-75072342</f>
        <v>616425060</v>
      </c>
      <c r="D49" s="20">
        <f>3692756300+27648000-25493014-14345107-319866045-79429455</f>
        <v>3281270679</v>
      </c>
      <c r="E49" s="20">
        <f t="shared" si="0"/>
        <v>13899432053.3</v>
      </c>
      <c r="F49" s="20">
        <v>327398000</v>
      </c>
      <c r="G49" s="20">
        <v>0</v>
      </c>
      <c r="H49" s="20">
        <v>0</v>
      </c>
      <c r="I49" s="20">
        <v>1405218000</v>
      </c>
      <c r="J49" s="20">
        <v>618423000</v>
      </c>
      <c r="K49" s="20">
        <v>0</v>
      </c>
      <c r="L49" s="20">
        <v>0</v>
      </c>
      <c r="M49" s="20">
        <f aca="true" t="shared" si="8" ref="M49:M58">SUM(E49:L49)</f>
        <v>16250471053.3</v>
      </c>
      <c r="N49" s="20">
        <v>754392755.13</v>
      </c>
      <c r="O49" s="20">
        <f t="shared" si="1"/>
        <v>17004863808.429998</v>
      </c>
      <c r="P49" s="20">
        <v>19010854704.16</v>
      </c>
      <c r="Q49" s="20">
        <v>9517300729.84</v>
      </c>
      <c r="R49" s="18"/>
      <c r="S49" s="21"/>
      <c r="W49" s="37" t="s">
        <v>77</v>
      </c>
      <c r="X49" s="25">
        <f t="shared" si="5"/>
        <v>17</v>
      </c>
      <c r="Y49" s="25">
        <f t="shared" si="6"/>
        <v>19.01</v>
      </c>
      <c r="Z49" s="25">
        <f t="shared" si="7"/>
        <v>9.51</v>
      </c>
      <c r="AC49" s="27"/>
      <c r="AD49" s="28"/>
    </row>
    <row r="50" spans="1:30" ht="12.75">
      <c r="A50" s="19">
        <v>1995</v>
      </c>
      <c r="B50" s="20">
        <f>11184715800+10681006.88-251118230-209020000</f>
        <v>10735258576.88</v>
      </c>
      <c r="C50" s="20">
        <f>569247000-67361230-10331320</f>
        <v>491554450</v>
      </c>
      <c r="D50" s="20">
        <f>5019368000+32156000-9916770-20726180-467286960-37589460</f>
        <v>4516004630</v>
      </c>
      <c r="E50" s="20">
        <f t="shared" si="0"/>
        <v>15742817656.88</v>
      </c>
      <c r="F50" s="20">
        <v>395443000</v>
      </c>
      <c r="G50" s="20">
        <v>0</v>
      </c>
      <c r="H50" s="20">
        <v>0</v>
      </c>
      <c r="I50" s="20">
        <v>2008840000</v>
      </c>
      <c r="J50" s="20">
        <v>681792000</v>
      </c>
      <c r="K50" s="20">
        <v>0</v>
      </c>
      <c r="L50" s="20">
        <v>0</v>
      </c>
      <c r="M50" s="20">
        <f t="shared" si="8"/>
        <v>18828892656.879997</v>
      </c>
      <c r="N50" s="20">
        <v>547726162.99</v>
      </c>
      <c r="O50" s="20">
        <f t="shared" si="1"/>
        <v>19376618819.87</v>
      </c>
      <c r="P50" s="20">
        <v>19472495535.53</v>
      </c>
      <c r="Q50" s="20">
        <v>9421424014.18</v>
      </c>
      <c r="R50" s="18"/>
      <c r="S50" s="21"/>
      <c r="W50" s="37" t="s">
        <v>78</v>
      </c>
      <c r="X50" s="25">
        <f t="shared" si="5"/>
        <v>19.37</v>
      </c>
      <c r="Y50" s="25">
        <f t="shared" si="6"/>
        <v>19.47</v>
      </c>
      <c r="Z50" s="25">
        <f t="shared" si="7"/>
        <v>9.42</v>
      </c>
      <c r="AC50" s="27"/>
      <c r="AD50" s="28"/>
    </row>
    <row r="51" spans="1:30" ht="12.75">
      <c r="A51" s="19">
        <v>1996</v>
      </c>
      <c r="B51" s="20">
        <f>13410473200+7375840.63-55817740-219135000</f>
        <v>13142896300.63</v>
      </c>
      <c r="C51" s="20">
        <f>818925000-14316420-27898140</f>
        <v>776710440</v>
      </c>
      <c r="D51" s="20">
        <f>5376857100+34733000-12241460-27520450-402261000-6401580</f>
        <v>4963165610</v>
      </c>
      <c r="E51" s="20">
        <f t="shared" si="0"/>
        <v>18882772350.629997</v>
      </c>
      <c r="F51" s="20">
        <v>532352000</v>
      </c>
      <c r="G51" s="20">
        <v>0</v>
      </c>
      <c r="H51" s="20">
        <v>0</v>
      </c>
      <c r="I51" s="20">
        <v>1878863400</v>
      </c>
      <c r="J51" s="20">
        <v>739878000</v>
      </c>
      <c r="K51" s="20">
        <v>0</v>
      </c>
      <c r="L51" s="20">
        <v>0</v>
      </c>
      <c r="M51" s="20">
        <f t="shared" si="8"/>
        <v>22033865750.629997</v>
      </c>
      <c r="N51" s="20">
        <v>657873543.58</v>
      </c>
      <c r="O51" s="20">
        <f t="shared" si="1"/>
        <v>22691739294.21</v>
      </c>
      <c r="P51" s="20">
        <v>19995345290.91</v>
      </c>
      <c r="Q51" s="20">
        <v>12117818017.48</v>
      </c>
      <c r="R51" s="18"/>
      <c r="S51" s="21"/>
      <c r="W51" s="37" t="s">
        <v>91</v>
      </c>
      <c r="X51" s="25">
        <f t="shared" si="5"/>
        <v>22.69</v>
      </c>
      <c r="Y51" s="25">
        <f t="shared" si="6"/>
        <v>19.99</v>
      </c>
      <c r="Z51" s="25">
        <f t="shared" si="7"/>
        <v>12.11</v>
      </c>
      <c r="AC51" s="27"/>
      <c r="AD51" s="28"/>
    </row>
    <row r="52" spans="1:30" ht="12.75">
      <c r="A52" s="19">
        <v>1997</v>
      </c>
      <c r="B52" s="20">
        <f>12855183246+5853428.73-188712940-189186000</f>
        <v>12483137734.73</v>
      </c>
      <c r="C52" s="20">
        <f>454229064-13270140+134437930</f>
        <v>575396854</v>
      </c>
      <c r="D52" s="20">
        <f>5211582331-11331644-29085075-456231636</f>
        <v>4714933976</v>
      </c>
      <c r="E52" s="20">
        <f t="shared" si="0"/>
        <v>17773468564.73</v>
      </c>
      <c r="F52" s="20">
        <v>299745000</v>
      </c>
      <c r="G52" s="20">
        <v>0</v>
      </c>
      <c r="H52" s="20">
        <v>0</v>
      </c>
      <c r="I52" s="20">
        <v>1674348000</v>
      </c>
      <c r="J52" s="20">
        <v>761759580</v>
      </c>
      <c r="K52" s="20">
        <v>0</v>
      </c>
      <c r="L52" s="20">
        <v>0</v>
      </c>
      <c r="M52" s="20">
        <f t="shared" si="8"/>
        <v>20509321144.73</v>
      </c>
      <c r="N52" s="20">
        <v>804750340.8</v>
      </c>
      <c r="O52" s="20">
        <f t="shared" si="1"/>
        <v>21314071485.53</v>
      </c>
      <c r="P52" s="20">
        <v>20856749750.65</v>
      </c>
      <c r="Q52" s="20">
        <f>12575139752.36+578152.81</f>
        <v>12575717905.17</v>
      </c>
      <c r="R52" s="18"/>
      <c r="S52" s="21"/>
      <c r="W52" s="37" t="s">
        <v>79</v>
      </c>
      <c r="X52" s="25">
        <f t="shared" si="5"/>
        <v>21.31</v>
      </c>
      <c r="Y52" s="25">
        <f t="shared" si="6"/>
        <v>20.85</v>
      </c>
      <c r="Z52" s="25">
        <f t="shared" si="7"/>
        <v>12.57</v>
      </c>
      <c r="AC52" s="27"/>
      <c r="AD52" s="28"/>
    </row>
    <row r="53" spans="1:30" ht="12.75">
      <c r="A53" s="19">
        <v>1998</v>
      </c>
      <c r="B53" s="20">
        <f>14480423317+5586613.74-212548628-172217000</f>
        <v>14101244302.74</v>
      </c>
      <c r="C53" s="20">
        <f>780309734-16356740-16081000</f>
        <v>747871994</v>
      </c>
      <c r="D53" s="20">
        <f>5400003841-4142700-24821657-381982507</f>
        <v>4989056977</v>
      </c>
      <c r="E53" s="20">
        <f t="shared" si="0"/>
        <v>19838173273.739998</v>
      </c>
      <c r="F53" s="20">
        <v>399305000</v>
      </c>
      <c r="G53" s="20">
        <v>0</v>
      </c>
      <c r="H53" s="20">
        <v>0</v>
      </c>
      <c r="I53" s="20">
        <v>2040532000</v>
      </c>
      <c r="J53" s="20">
        <v>862923540</v>
      </c>
      <c r="K53" s="20">
        <v>0</v>
      </c>
      <c r="L53" s="20">
        <v>0</v>
      </c>
      <c r="M53" s="20">
        <f t="shared" si="8"/>
        <v>23140933813.739998</v>
      </c>
      <c r="N53" s="20">
        <v>1165697654.12</v>
      </c>
      <c r="O53" s="20">
        <f>SUM(M53:N53)</f>
        <v>24306631467.859997</v>
      </c>
      <c r="P53" s="20">
        <v>20347264906.69</v>
      </c>
      <c r="Q53" s="20">
        <v>16535084466.34</v>
      </c>
      <c r="R53" s="18"/>
      <c r="S53" s="21"/>
      <c r="W53" s="37" t="s">
        <v>90</v>
      </c>
      <c r="X53" s="25">
        <f t="shared" si="5"/>
        <v>24.3</v>
      </c>
      <c r="Y53" s="25">
        <f t="shared" si="6"/>
        <v>20.34</v>
      </c>
      <c r="Z53" s="25">
        <f t="shared" si="7"/>
        <v>16.53</v>
      </c>
      <c r="AC53" s="27"/>
      <c r="AD53" s="28"/>
    </row>
    <row r="54" spans="1:30" ht="12.75">
      <c r="A54" s="19">
        <v>1999</v>
      </c>
      <c r="B54" s="20">
        <f>21373069274+6687496.06-328991574-244439000</f>
        <v>20806326196.06</v>
      </c>
      <c r="C54" s="20">
        <f>1310748080-21869000-32962382</f>
        <v>1255916698</v>
      </c>
      <c r="D54" s="20">
        <f>8388281778-779072-35828801-632156961</f>
        <v>7719516944</v>
      </c>
      <c r="E54" s="20">
        <f t="shared" si="0"/>
        <v>29781759838.06</v>
      </c>
      <c r="F54" s="20">
        <v>416034000</v>
      </c>
      <c r="G54" s="20">
        <v>0</v>
      </c>
      <c r="H54" s="20">
        <v>0</v>
      </c>
      <c r="I54" s="20">
        <v>2809900000</v>
      </c>
      <c r="J54" s="20">
        <v>813698000</v>
      </c>
      <c r="K54" s="20">
        <v>0</v>
      </c>
      <c r="L54" s="20">
        <v>0</v>
      </c>
      <c r="M54" s="20">
        <f t="shared" si="8"/>
        <v>33821391838.06</v>
      </c>
      <c r="N54" s="20">
        <v>1820723</v>
      </c>
      <c r="O54" s="20">
        <f>SUM(M54:N54)</f>
        <v>33823212561.06</v>
      </c>
      <c r="P54" s="20">
        <v>23134685976.56</v>
      </c>
      <c r="Q54" s="20">
        <v>19206255624.13</v>
      </c>
      <c r="R54" s="18"/>
      <c r="S54" s="21"/>
      <c r="W54" s="37" t="s">
        <v>80</v>
      </c>
      <c r="X54" s="25">
        <f t="shared" si="5"/>
        <v>33.82</v>
      </c>
      <c r="Y54" s="25">
        <f t="shared" si="6"/>
        <v>23.13</v>
      </c>
      <c r="Z54" s="25">
        <f t="shared" si="7"/>
        <v>19.2</v>
      </c>
      <c r="AC54" s="27"/>
      <c r="AD54" s="28"/>
    </row>
    <row r="55" spans="1:30" ht="12.75">
      <c r="A55" s="26">
        <v>2000</v>
      </c>
      <c r="B55" s="20">
        <f>17969245000+12909379.84-194049761-208847000</f>
        <v>17579257618.84</v>
      </c>
      <c r="C55" s="20">
        <f>1293063000-13969000-186113900</f>
        <v>1092980100</v>
      </c>
      <c r="D55" s="20">
        <f>7427091000-110000-376797928+2831330-62321250</f>
        <v>6990693152</v>
      </c>
      <c r="E55" s="20">
        <f t="shared" si="0"/>
        <v>25662930870.84</v>
      </c>
      <c r="F55" s="20">
        <v>442134000</v>
      </c>
      <c r="G55" s="20">
        <v>0</v>
      </c>
      <c r="H55" s="20">
        <v>0</v>
      </c>
      <c r="I55" s="20">
        <v>3320857000</v>
      </c>
      <c r="J55" s="20">
        <v>921289000</v>
      </c>
      <c r="K55" s="20">
        <v>0</v>
      </c>
      <c r="L55" s="29">
        <v>0</v>
      </c>
      <c r="M55" s="20">
        <f t="shared" si="8"/>
        <v>30347210870.84</v>
      </c>
      <c r="N55" s="30">
        <v>-94071</v>
      </c>
      <c r="O55" s="30">
        <f>SUM(M55:N55)</f>
        <v>30347116799.84</v>
      </c>
      <c r="P55" s="20">
        <v>26999828032.09</v>
      </c>
      <c r="Q55" s="30">
        <v>22553544391.88</v>
      </c>
      <c r="R55" s="18"/>
      <c r="S55" s="21"/>
      <c r="W55" s="38" t="s">
        <v>89</v>
      </c>
      <c r="X55" s="25">
        <f t="shared" si="5"/>
        <v>30.34</v>
      </c>
      <c r="Y55" s="25">
        <f t="shared" si="6"/>
        <v>26.99</v>
      </c>
      <c r="Z55" s="25">
        <f t="shared" si="7"/>
        <v>22.55</v>
      </c>
      <c r="AC55" s="27"/>
      <c r="AD55" s="28"/>
    </row>
    <row r="56" spans="1:30" ht="12.75">
      <c r="A56" s="24">
        <v>2001</v>
      </c>
      <c r="B56" s="20">
        <v>16462310794.25</v>
      </c>
      <c r="C56" s="20">
        <v>1477985000</v>
      </c>
      <c r="D56" s="20">
        <v>6534437160</v>
      </c>
      <c r="E56" s="20">
        <v>24474732954.25</v>
      </c>
      <c r="F56" s="20">
        <v>342723000</v>
      </c>
      <c r="G56" s="20">
        <v>0</v>
      </c>
      <c r="H56" s="20">
        <v>0</v>
      </c>
      <c r="I56" s="20">
        <v>1488705000</v>
      </c>
      <c r="J56" s="20">
        <v>609611000</v>
      </c>
      <c r="K56" s="20">
        <v>0</v>
      </c>
      <c r="L56" s="29">
        <v>0</v>
      </c>
      <c r="M56" s="20">
        <v>26915771954.25</v>
      </c>
      <c r="N56" s="30">
        <v>743517</v>
      </c>
      <c r="O56" s="30">
        <v>26916515471.25</v>
      </c>
      <c r="P56" s="20">
        <v>29098372289.14</v>
      </c>
      <c r="Q56" s="30">
        <v>20371687573.99</v>
      </c>
      <c r="W56" s="38" t="s">
        <v>81</v>
      </c>
      <c r="X56" s="25">
        <f t="shared" si="5"/>
        <v>26.91</v>
      </c>
      <c r="Y56" s="25">
        <f t="shared" si="6"/>
        <v>29.09</v>
      </c>
      <c r="Z56" s="25">
        <f t="shared" si="7"/>
        <v>20.37</v>
      </c>
      <c r="AC56" s="27"/>
      <c r="AD56" s="27"/>
    </row>
    <row r="57" spans="1:26" s="27" customFormat="1" ht="12.75">
      <c r="A57" s="24">
        <v>2002</v>
      </c>
      <c r="B57" s="20">
        <f>17611067000-844000-249902000-102137000-258828000+14790307.34</f>
        <v>17014146307.34</v>
      </c>
      <c r="C57" s="20">
        <f>1662416000-19402000-21515000</f>
        <v>1621499000</v>
      </c>
      <c r="D57" s="20">
        <f>7366174000-4000-581314030-4228880-33411220</f>
        <v>6747215870</v>
      </c>
      <c r="E57" s="20">
        <f t="shared" si="0"/>
        <v>25382861177.34</v>
      </c>
      <c r="F57" s="20">
        <v>351326000</v>
      </c>
      <c r="G57" s="20">
        <v>0</v>
      </c>
      <c r="H57" s="20">
        <v>0</v>
      </c>
      <c r="I57" s="20">
        <v>1265718000</v>
      </c>
      <c r="J57" s="20">
        <v>981695000</v>
      </c>
      <c r="K57" s="20">
        <v>0</v>
      </c>
      <c r="L57" s="20">
        <v>0</v>
      </c>
      <c r="M57" s="20">
        <f t="shared" si="8"/>
        <v>27981600177.34</v>
      </c>
      <c r="N57" s="20">
        <v>1336743</v>
      </c>
      <c r="O57" s="20">
        <f aca="true" t="shared" si="9" ref="O57:O62">SUM(M57:N57)</f>
        <v>27982936920.34</v>
      </c>
      <c r="P57" s="20">
        <v>32218581198.49</v>
      </c>
      <c r="Q57" s="20">
        <v>16136043295.84</v>
      </c>
      <c r="W57" s="38" t="s">
        <v>88</v>
      </c>
      <c r="X57" s="25">
        <f t="shared" si="5"/>
        <v>27.98</v>
      </c>
      <c r="Y57" s="25">
        <f t="shared" si="6"/>
        <v>32.21</v>
      </c>
      <c r="Z57" s="25">
        <f t="shared" si="7"/>
        <v>16.13</v>
      </c>
    </row>
    <row r="58" spans="1:30" ht="12.75">
      <c r="A58" s="24">
        <v>2003</v>
      </c>
      <c r="B58" s="20">
        <f>'[1]CURRENT YEAR DATA ENTRY'!$B$12</f>
        <v>16963588616</v>
      </c>
      <c r="C58" s="20">
        <f>'[1]CURRENT YEAR DATA ENTRY'!$B$17</f>
        <v>1994951000</v>
      </c>
      <c r="D58" s="20">
        <f>'[1]CURRENT YEAR DATA ENTRY'!$B$24</f>
        <v>6950010000</v>
      </c>
      <c r="E58" s="20">
        <f t="shared" si="0"/>
        <v>25908549616</v>
      </c>
      <c r="F58" s="20">
        <f>'[1]CURRENT YEAR DATA ENTRY'!$B$33</f>
        <v>403039000</v>
      </c>
      <c r="G58" s="20">
        <v>0</v>
      </c>
      <c r="H58" s="20">
        <v>0</v>
      </c>
      <c r="I58" s="20">
        <f>'[1]CURRENT YEAR DATA ENTRY'!$B$31</f>
        <v>1709666000</v>
      </c>
      <c r="J58" s="20">
        <f>'[1]CURRENT YEAR DATA ENTRY'!$B$29</f>
        <v>940434000</v>
      </c>
      <c r="K58" s="20">
        <v>0</v>
      </c>
      <c r="L58" s="20">
        <v>0</v>
      </c>
      <c r="M58" s="20">
        <f t="shared" si="8"/>
        <v>28961688616</v>
      </c>
      <c r="N58" s="20">
        <f>'[1]CURRENT YEAR DATA ENTRY'!$B$46</f>
        <v>2311764</v>
      </c>
      <c r="O58" s="20">
        <f t="shared" si="9"/>
        <v>28964000380</v>
      </c>
      <c r="P58" s="20">
        <v>32109030579.02</v>
      </c>
      <c r="Q58" s="20">
        <v>12991383752.88</v>
      </c>
      <c r="R58" s="27"/>
      <c r="S58" s="27"/>
      <c r="T58" s="27"/>
      <c r="U58" s="27"/>
      <c r="V58" s="27"/>
      <c r="W58" s="38" t="s">
        <v>82</v>
      </c>
      <c r="X58" s="25">
        <f t="shared" si="5"/>
        <v>28.96</v>
      </c>
      <c r="Y58" s="25">
        <f t="shared" si="6"/>
        <v>32.1</v>
      </c>
      <c r="Z58" s="25">
        <f t="shared" si="7"/>
        <v>12.99</v>
      </c>
      <c r="AC58" s="27"/>
      <c r="AD58" s="27"/>
    </row>
    <row r="59" spans="1:30" ht="12.75">
      <c r="A59" s="24">
        <v>2004</v>
      </c>
      <c r="B59" s="20">
        <f>'[2]CURRENT YEAR DATA ENTRY'!$B$12</f>
        <v>14776772683.97</v>
      </c>
      <c r="C59" s="20">
        <f>'[2]CURRENT YEAR DATA ENTRY'!$B$17</f>
        <v>4485353000</v>
      </c>
      <c r="D59" s="20">
        <f>'[2]CURRENT YEAR DATA ENTRY'!$B$24</f>
        <v>7285859000</v>
      </c>
      <c r="E59" s="20">
        <f aca="true" t="shared" si="10" ref="E59:E64">SUM(B59:D59)</f>
        <v>26547984683.97</v>
      </c>
      <c r="F59" s="20">
        <f>'[2]CURRENT YEAR DATA ENTRY'!$B$33</f>
        <v>445841000</v>
      </c>
      <c r="G59" s="20">
        <v>0</v>
      </c>
      <c r="H59" s="20">
        <v>0</v>
      </c>
      <c r="I59" s="20">
        <f>'[2]CURRENT YEAR DATA ENTRY'!$B$31</f>
        <v>1846613000</v>
      </c>
      <c r="J59" s="20">
        <f>'[2]CURRENT YEAR DATA ENTRY'!$B$29</f>
        <v>944563000</v>
      </c>
      <c r="K59" s="20">
        <v>0</v>
      </c>
      <c r="L59" s="20">
        <v>0</v>
      </c>
      <c r="M59" s="20">
        <f aca="true" t="shared" si="11" ref="M59:M64">SUM(E59:L59)</f>
        <v>29785001683.97</v>
      </c>
      <c r="N59" s="20">
        <f>'[2]CURRENT YEAR DATA ENTRY'!$B$46</f>
        <v>0</v>
      </c>
      <c r="O59" s="20">
        <f t="shared" si="9"/>
        <v>29785001683.97</v>
      </c>
      <c r="P59" s="20">
        <v>31968891861</v>
      </c>
      <c r="Q59" s="20">
        <v>10807493576</v>
      </c>
      <c r="W59" s="38" t="s">
        <v>83</v>
      </c>
      <c r="X59" s="25">
        <f t="shared" si="5"/>
        <v>29.78</v>
      </c>
      <c r="Y59" s="25">
        <f t="shared" si="6"/>
        <v>31.96</v>
      </c>
      <c r="Z59" s="25">
        <f t="shared" si="7"/>
        <v>10.8</v>
      </c>
      <c r="AC59" s="27"/>
      <c r="AD59" s="27"/>
    </row>
    <row r="60" spans="1:30" ht="12.75">
      <c r="A60" s="24">
        <v>2005</v>
      </c>
      <c r="B60" s="20">
        <f>'[3]CURRENT YEAR DATA ENTRY'!$B$12</f>
        <v>19173871333</v>
      </c>
      <c r="C60" s="20">
        <f>'[3]CURRENT YEAR DATA ENTRY'!$B$17</f>
        <v>1351831000</v>
      </c>
      <c r="D60" s="20">
        <f>'[3]CURRENT YEAR DATA ENTRY'!$B$24</f>
        <v>7832149000</v>
      </c>
      <c r="E60" s="20">
        <f t="shared" si="10"/>
        <v>28357851333</v>
      </c>
      <c r="F60" s="20">
        <f>'[3]CURRENT YEAR DATA ENTRY'!$B$33</f>
        <v>467079000</v>
      </c>
      <c r="G60" s="31">
        <v>0</v>
      </c>
      <c r="H60" s="31">
        <v>0</v>
      </c>
      <c r="I60" s="20">
        <f>'[3]CURRENT YEAR DATA ENTRY'!$B$31</f>
        <v>2992692000</v>
      </c>
      <c r="J60" s="20">
        <f>'[3]CURRENT YEAR DATA ENTRY'!$B$29</f>
        <v>1089886000</v>
      </c>
      <c r="K60" s="31">
        <v>0</v>
      </c>
      <c r="L60" s="31">
        <v>0</v>
      </c>
      <c r="M60" s="20">
        <f t="shared" si="11"/>
        <v>32907508333</v>
      </c>
      <c r="N60" s="20">
        <f>'[3]CURRENT YEAR DATA ENTRY'!$B$46</f>
        <v>1054722</v>
      </c>
      <c r="O60" s="20">
        <f t="shared" si="9"/>
        <v>32908563055</v>
      </c>
      <c r="P60" s="20">
        <v>33121424366.109993</v>
      </c>
      <c r="Q60" s="20">
        <v>10592258008.23</v>
      </c>
      <c r="W60" s="38" t="s">
        <v>84</v>
      </c>
      <c r="X60" s="25">
        <f t="shared" si="5"/>
        <v>32.9</v>
      </c>
      <c r="Y60" s="25">
        <f t="shared" si="6"/>
        <v>33.12</v>
      </c>
      <c r="Z60" s="25">
        <f t="shared" si="7"/>
        <v>10.59</v>
      </c>
      <c r="AC60" s="27"/>
      <c r="AD60" s="27"/>
    </row>
    <row r="61" spans="1:26" ht="12.75">
      <c r="A61" s="24">
        <v>2006</v>
      </c>
      <c r="B61" s="20">
        <f>'[4]CURRENT YEAR DATA ENTRY'!$B$12</f>
        <v>20082905515</v>
      </c>
      <c r="C61" s="20">
        <f>'[4]CURRENT YEAR DATA ENTRY'!$B$17</f>
        <v>0</v>
      </c>
      <c r="D61" s="20">
        <f>'[4]CURRENT YEAR DATA ENTRY'!$B$27</f>
        <v>8089814987</v>
      </c>
      <c r="E61" s="20">
        <f t="shared" si="10"/>
        <v>28172720502</v>
      </c>
      <c r="F61" s="20">
        <f>'[4]CURRENT YEAR DATA ENTRY'!$B$36</f>
        <v>488210000</v>
      </c>
      <c r="G61" s="31">
        <v>0</v>
      </c>
      <c r="H61" s="31">
        <v>0</v>
      </c>
      <c r="I61" s="20">
        <f>'[4]CURRENT YEAR DATA ENTRY'!$B$34</f>
        <v>3618945000</v>
      </c>
      <c r="J61" s="20">
        <f>'[4]CURRENT YEAR DATA ENTRY'!$B$32</f>
        <v>1403550000</v>
      </c>
      <c r="K61" s="31">
        <v>0</v>
      </c>
      <c r="L61" s="31">
        <v>0</v>
      </c>
      <c r="M61" s="20">
        <f t="shared" si="11"/>
        <v>33683425502</v>
      </c>
      <c r="N61" s="20">
        <f>'[4]CURRENT YEAR DATA ENTRY'!$B$46</f>
        <v>1138728</v>
      </c>
      <c r="O61" s="20">
        <f t="shared" si="9"/>
        <v>33684564230</v>
      </c>
      <c r="P61" s="20">
        <v>33912088622.229996</v>
      </c>
      <c r="Q61" s="32">
        <v>9010417110.610004</v>
      </c>
      <c r="S61" s="33"/>
      <c r="W61" s="38" t="s">
        <v>84</v>
      </c>
      <c r="X61" s="25">
        <f t="shared" si="5"/>
        <v>33.68</v>
      </c>
      <c r="Y61" s="25">
        <f t="shared" si="6"/>
        <v>33.91</v>
      </c>
      <c r="Z61" s="25">
        <f t="shared" si="7"/>
        <v>9.01</v>
      </c>
    </row>
    <row r="62" spans="1:26" ht="12.75">
      <c r="A62" s="24">
        <v>2007</v>
      </c>
      <c r="B62" s="20">
        <f>'[5]CURRENT YEAR DATA ENTRY'!$B$12</f>
        <v>20658493607</v>
      </c>
      <c r="C62" s="20">
        <f>'[5]CURRENT YEAR DATA ENTRY'!$B$17</f>
        <v>0</v>
      </c>
      <c r="D62" s="20">
        <f>'[5]CURRENT YEAR DATA ENTRY'!$B$27</f>
        <v>8347276986</v>
      </c>
      <c r="E62" s="20">
        <f t="shared" si="10"/>
        <v>29005770593</v>
      </c>
      <c r="F62" s="20">
        <f>'[5]CURRENT YEAR DATA ENTRY'!$B$36</f>
        <v>460957000</v>
      </c>
      <c r="G62" s="31">
        <v>0</v>
      </c>
      <c r="H62" s="31">
        <v>0</v>
      </c>
      <c r="I62" s="20">
        <f>'[5]CURRENT YEAR DATA ENTRY'!$B$34</f>
        <v>3809479000</v>
      </c>
      <c r="J62" s="20">
        <f>'[5]CURRENT YEAR DATA ENTRY'!$B$32</f>
        <v>1031884000</v>
      </c>
      <c r="K62" s="31">
        <v>0</v>
      </c>
      <c r="L62" s="31">
        <v>0</v>
      </c>
      <c r="M62" s="31">
        <f t="shared" si="11"/>
        <v>34308090593</v>
      </c>
      <c r="N62" s="20">
        <f>'[5]CURRENT YEAR DATA ENTRY'!$B$46</f>
        <v>2385724</v>
      </c>
      <c r="O62" s="20">
        <f t="shared" si="9"/>
        <v>34310476317</v>
      </c>
      <c r="P62" s="34">
        <v>34979233789</v>
      </c>
      <c r="Q62" s="32">
        <v>8110431947.440006</v>
      </c>
      <c r="W62" s="38" t="s">
        <v>85</v>
      </c>
      <c r="X62" s="25">
        <f t="shared" si="5"/>
        <v>34.31</v>
      </c>
      <c r="Y62" s="25">
        <f t="shared" si="6"/>
        <v>34.97</v>
      </c>
      <c r="Z62" s="25">
        <f t="shared" si="7"/>
        <v>8.11</v>
      </c>
    </row>
    <row r="63" spans="1:26" ht="12.75">
      <c r="A63" s="24">
        <v>2008</v>
      </c>
      <c r="B63" s="20">
        <f>'[6]CURRENT YEAR DATA ENTRY'!$B$12</f>
        <v>20575324767</v>
      </c>
      <c r="C63" s="20">
        <f>'[6]CURRENT YEAR DATA ENTRY'!$B$17</f>
        <v>0</v>
      </c>
      <c r="D63" s="20">
        <f>'[6]CURRENT YEAR DATA ENTRY'!$B$27</f>
        <v>7895817000</v>
      </c>
      <c r="E63" s="20">
        <f t="shared" si="10"/>
        <v>28471141767</v>
      </c>
      <c r="F63" s="20">
        <f>'[6]CURRENT YEAR DATA ENTRY'!$B$36</f>
        <v>386627000</v>
      </c>
      <c r="G63" s="31">
        <v>0</v>
      </c>
      <c r="H63" s="31">
        <v>0</v>
      </c>
      <c r="I63" s="20">
        <f>'[6]CURRENT YEAR DATA ENTRY'!$B$34</f>
        <v>1445621000</v>
      </c>
      <c r="J63" s="20">
        <f>'[6]CURRENT YEAR DATA ENTRY'!$B$32</f>
        <v>1038312000</v>
      </c>
      <c r="K63" s="31">
        <v>0</v>
      </c>
      <c r="L63" s="31">
        <v>0</v>
      </c>
      <c r="M63" s="31">
        <f t="shared" si="11"/>
        <v>31341701767</v>
      </c>
      <c r="N63" s="20">
        <f>'[6]CURRENT YEAR DATA ENTRY'!$B$46</f>
        <v>2628300</v>
      </c>
      <c r="O63" s="20">
        <f>SUM(M63:N63)</f>
        <v>31344330067</v>
      </c>
      <c r="P63" s="31">
        <v>37011932298</v>
      </c>
      <c r="Q63" s="35">
        <v>10032229988</v>
      </c>
      <c r="W63" s="38" t="s">
        <v>86</v>
      </c>
      <c r="X63" s="25">
        <f t="shared" si="5"/>
        <v>31.34</v>
      </c>
      <c r="Y63" s="25">
        <f t="shared" si="6"/>
        <v>37.01</v>
      </c>
      <c r="Z63" s="25">
        <f t="shared" si="7"/>
        <v>10.03</v>
      </c>
    </row>
    <row r="64" spans="1:26" ht="12.75">
      <c r="A64" s="24">
        <v>2009</v>
      </c>
      <c r="B64" s="20">
        <f>'[7]CURRENT YEAR DATA ENTRY'!$B$12</f>
        <v>19958795000</v>
      </c>
      <c r="C64" s="20">
        <f>'[7]CURRENT YEAR DATA ENTRY'!$B$17</f>
        <v>0</v>
      </c>
      <c r="D64" s="20">
        <f>'[7]CURRENT YEAR DATA ENTRY'!$B$27</f>
        <v>7000779000</v>
      </c>
      <c r="E64" s="20">
        <f t="shared" si="10"/>
        <v>26959574000</v>
      </c>
      <c r="F64" s="20">
        <f>'[7]CURRENT YEAR DATA ENTRY'!$B$36</f>
        <v>314276000</v>
      </c>
      <c r="G64" s="31">
        <v>0</v>
      </c>
      <c r="H64" s="31">
        <v>0</v>
      </c>
      <c r="I64" s="20">
        <f>'[7]CURRENT YEAR DATA ENTRY'!$B$34</f>
        <v>1890021000</v>
      </c>
      <c r="J64" s="20">
        <f>'[7]CURRENT YEAR DATA ENTRY'!$B$32</f>
        <v>962528000</v>
      </c>
      <c r="K64" s="31">
        <v>0</v>
      </c>
      <c r="L64" s="31">
        <v>0</v>
      </c>
      <c r="M64" s="31">
        <f t="shared" si="11"/>
        <v>30126399000</v>
      </c>
      <c r="N64" s="20">
        <f>'[7]CURRENT YEAR DATA ENTRY'!$B$46</f>
        <v>0</v>
      </c>
      <c r="O64" s="20">
        <f>SUM(M64:N64)</f>
        <v>30126399000</v>
      </c>
      <c r="P64" s="31">
        <v>37571316962.84</v>
      </c>
      <c r="Q64" s="35">
        <v>8881337690.99</v>
      </c>
      <c r="W64" s="38" t="s">
        <v>87</v>
      </c>
      <c r="X64" s="25">
        <f t="shared" si="5"/>
        <v>30.12</v>
      </c>
      <c r="Y64" s="25">
        <f t="shared" si="6"/>
        <v>37.57</v>
      </c>
      <c r="Z64" s="25">
        <f t="shared" si="7"/>
        <v>8.88</v>
      </c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2011-01-19T14:51:07Z</cp:lastPrinted>
  <dcterms:created xsi:type="dcterms:W3CDTF">2001-09-10T15:33:38Z</dcterms:created>
  <dcterms:modified xsi:type="dcterms:W3CDTF">2011-01-19T14:51:49Z</dcterms:modified>
  <cp:category/>
  <cp:version/>
  <cp:contentType/>
  <cp:contentStatus/>
</cp:coreProperties>
</file>