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Y 2009" sheetId="1" r:id="rId1"/>
    <sheet name="Sheet1" sheetId="2" r:id="rId2"/>
  </sheets>
  <definedNames>
    <definedName name="_1_2007">#REF!</definedName>
  </definedNames>
  <calcPr fullCalcOnLoad="1"/>
</workbook>
</file>

<file path=xl/sharedStrings.xml><?xml version="1.0" encoding="utf-8"?>
<sst xmlns="http://schemas.openxmlformats.org/spreadsheetml/2006/main" count="218" uniqueCount="128">
  <si>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</si>
  <si>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</si>
  <si>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</si>
  <si>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</si>
  <si>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</si>
  <si>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</si>
  <si>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</si>
  <si>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</si>
  <si>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</si>
  <si>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</si>
  <si>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Value of Approved VE Change Proposals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</si>
  <si>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</si>
  <si>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</si>
  <si>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</si>
  <si>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</si>
  <si>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</si>
  <si>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</si>
  <si>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</si>
  <si>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</si>
  <si>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</si>
  <si>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</si>
  <si>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</si>
  <si>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</si>
  <si>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</si>
  <si>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</si>
  <si>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</si>
  <si>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</si>
  <si>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</si>
  <si>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</si>
  <si>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</si>
  <si>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</si>
  <si>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</si>
  <si>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</si>
  <si>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</si>
  <si>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</si>
  <si>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</si>
  <si>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</si>
  <si>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</si>
  <si>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</si>
  <si>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</si>
  <si>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</si>
  <si>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</si>
  <si>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</si>
  <si>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</si>
  <si>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</si>
  <si>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</si>
  <si>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</si>
  <si>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</si>
  <si>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</si>
  <si>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</si>
  <si>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</si>
  <si>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</si>
  <si>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</si>
  <si>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Eastern Federal Lands</t>
  </si>
  <si>
    <t>Central Federal Lands</t>
  </si>
  <si>
    <t>Western Federal Lands</t>
  </si>
  <si>
    <t>State</t>
  </si>
  <si>
    <t>Number of VE Studies</t>
  </si>
  <si>
    <t>Return On Investment</t>
  </si>
  <si>
    <t>% of Project Costs Saved</t>
  </si>
  <si>
    <t>Number of Approved VE Change Proposals</t>
  </si>
  <si>
    <t>In-House</t>
  </si>
  <si>
    <t>Consultant</t>
  </si>
  <si>
    <t>Total</t>
  </si>
  <si>
    <t>Number of VE Recommen-dations</t>
  </si>
  <si>
    <t>Value of VE Recommen-dations</t>
  </si>
  <si>
    <t>Number of Approved Recommen-dations</t>
  </si>
  <si>
    <t>Value of Approved Recommen-dations</t>
  </si>
  <si>
    <t>Recommen-dation Acceptance Rate</t>
  </si>
  <si>
    <t>Federal Highway Administration</t>
  </si>
  <si>
    <t>VE Study Data</t>
  </si>
  <si>
    <t>Estimated Costs of Projects Studied</t>
  </si>
  <si>
    <t>VE Recommendation Data</t>
  </si>
  <si>
    <t>Return On Investment = Value of Approved Recommendations/Total Cost of VE Studies</t>
  </si>
  <si>
    <t>% of Costs Saved = Value of Approved Recommendations/Estimated Costs of Projects Studied</t>
  </si>
  <si>
    <t>Legend:</t>
  </si>
  <si>
    <t>Total Savings Achieved</t>
  </si>
  <si>
    <t>Total Savings Achieved = Value of Approved Recommendations + Value of Approved VE Change Proposals</t>
  </si>
  <si>
    <t>Cost of</t>
  </si>
  <si>
    <t xml:space="preserve"> VE Studies</t>
  </si>
  <si>
    <t>7:1</t>
  </si>
  <si>
    <t>13:1</t>
  </si>
  <si>
    <t>27:1</t>
  </si>
  <si>
    <t>12:1</t>
  </si>
  <si>
    <t>56:1</t>
  </si>
  <si>
    <t>22:1</t>
  </si>
  <si>
    <t>99:1</t>
  </si>
  <si>
    <t>All costs shown are millions of dollars</t>
  </si>
  <si>
    <t>FY 2009 Value Engineering Accomplishment Report</t>
  </si>
  <si>
    <t>N/A</t>
  </si>
  <si>
    <t>214:1</t>
  </si>
  <si>
    <t>155:1</t>
  </si>
  <si>
    <t>130:1</t>
  </si>
  <si>
    <t>241:1</t>
  </si>
  <si>
    <t>80:1</t>
  </si>
  <si>
    <t>229:1</t>
  </si>
  <si>
    <t>219:1</t>
  </si>
  <si>
    <t>71:1</t>
  </si>
  <si>
    <t>164:1</t>
  </si>
  <si>
    <t>170:1</t>
  </si>
  <si>
    <t>89:1</t>
  </si>
  <si>
    <t>260:1</t>
  </si>
  <si>
    <t>0</t>
  </si>
  <si>
    <t>187:1</t>
  </si>
  <si>
    <t>23:1</t>
  </si>
  <si>
    <t>800:1</t>
  </si>
  <si>
    <t>0.6:1</t>
  </si>
  <si>
    <t>37:1</t>
  </si>
  <si>
    <t>35:1</t>
  </si>
  <si>
    <t>230:1</t>
  </si>
  <si>
    <t>184:1</t>
  </si>
  <si>
    <t>315:1</t>
  </si>
  <si>
    <t>67:1</t>
  </si>
  <si>
    <t>901:1</t>
  </si>
  <si>
    <t>33:1</t>
  </si>
  <si>
    <t>176:1</t>
  </si>
  <si>
    <t>152:1</t>
  </si>
  <si>
    <t>771:1</t>
  </si>
  <si>
    <t>305:1</t>
  </si>
  <si>
    <t>119:1</t>
  </si>
  <si>
    <t>97:1</t>
  </si>
  <si>
    <t>377:1</t>
  </si>
  <si>
    <t>2:1</t>
  </si>
  <si>
    <t>45:1</t>
  </si>
  <si>
    <t>108:1</t>
  </si>
  <si>
    <t>1:1</t>
  </si>
  <si>
    <t>Proposal Data</t>
  </si>
  <si>
    <t xml:space="preserve">VE Change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</si>
</sst>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%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b/>
      <sz val="7"/>
      <color indexed="9"/>
      <name val="MS Sans Serif"/>
      <family val="0"/>
    </font>
    <font>
      <b/>
      <sz val="10"/>
      <name val="MS Sans Serif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8"/>
      <name val="MS Sans Serif"/>
      <family val="2"/>
    </font>
    <font>
      <sz val="7"/>
      <name val="MS Sans Serif"/>
      <family val="0"/>
    </font>
    <font>
      <b/>
      <sz val="7"/>
      <name val="MS Sans Serif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thick">
        <color indexed="22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18"/>
      </bottom>
    </border>
    <border>
      <left style="medium">
        <color indexed="55"/>
      </left>
      <right style="medium">
        <color indexed="55"/>
      </right>
      <top/>
      <bottom/>
    </border>
    <border>
      <left style="thick">
        <color indexed="22"/>
      </left>
      <right style="medium">
        <color indexed="55"/>
      </right>
      <top/>
      <bottom/>
    </border>
    <border>
      <left style="medium">
        <color indexed="55"/>
      </left>
      <right/>
      <top/>
      <bottom style="medium">
        <color indexed="55"/>
      </bottom>
    </border>
    <border>
      <left style="medium">
        <color indexed="55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44" fontId="0" fillId="0" borderId="0" xfId="44" applyFont="1" applyAlignment="1">
      <alignment horizontal="left"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4" fontId="4" fillId="0" borderId="0" xfId="44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8" fillId="0" borderId="10" xfId="0" applyFont="1" applyBorder="1" applyAlignment="1">
      <alignment vertical="top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9" fontId="5" fillId="33" borderId="0" xfId="57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5" fillId="33" borderId="0" xfId="44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4" fontId="6" fillId="33" borderId="0" xfId="44" applyFont="1" applyFill="1" applyAlignment="1">
      <alignment horizontal="left"/>
    </xf>
    <xf numFmtId="0" fontId="5" fillId="33" borderId="0" xfId="0" applyFont="1" applyFill="1" applyAlignment="1">
      <alignment/>
    </xf>
    <xf numFmtId="44" fontId="5" fillId="33" borderId="0" xfId="44" applyFont="1" applyFill="1" applyAlignment="1">
      <alignment horizontal="left"/>
    </xf>
    <xf numFmtId="9" fontId="5" fillId="33" borderId="0" xfId="57" applyFont="1" applyFill="1" applyAlignment="1">
      <alignment/>
    </xf>
    <xf numFmtId="3" fontId="5" fillId="33" borderId="0" xfId="0" applyNumberFormat="1" applyFont="1" applyFill="1" applyAlignment="1">
      <alignment/>
    </xf>
    <xf numFmtId="9" fontId="5" fillId="33" borderId="11" xfId="57" applyFont="1" applyFill="1" applyBorder="1" applyAlignment="1">
      <alignment/>
    </xf>
    <xf numFmtId="44" fontId="0" fillId="33" borderId="0" xfId="44" applyFont="1" applyFill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4" fontId="0" fillId="33" borderId="14" xfId="44" applyFont="1" applyFill="1" applyBorder="1" applyAlignment="1">
      <alignment/>
    </xf>
    <xf numFmtId="44" fontId="5" fillId="33" borderId="13" xfId="44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4" fontId="5" fillId="33" borderId="13" xfId="44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9" fontId="5" fillId="33" borderId="13" xfId="57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9" fontId="5" fillId="33" borderId="14" xfId="57" applyFont="1" applyFill="1" applyBorder="1" applyAlignment="1">
      <alignment/>
    </xf>
    <xf numFmtId="44" fontId="0" fillId="33" borderId="13" xfId="44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4" fontId="3" fillId="33" borderId="11" xfId="44" applyFont="1" applyFill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 indent="1"/>
    </xf>
    <xf numFmtId="165" fontId="9" fillId="0" borderId="18" xfId="0" applyNumberFormat="1" applyFont="1" applyBorder="1" applyAlignment="1">
      <alignment vertical="top" wrapText="1" indent="1"/>
    </xf>
    <xf numFmtId="164" fontId="9" fillId="0" borderId="18" xfId="0" applyNumberFormat="1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right" vertical="top" wrapText="1"/>
    </xf>
    <xf numFmtId="44" fontId="9" fillId="0" borderId="18" xfId="0" applyNumberFormat="1" applyFont="1" applyBorder="1" applyAlignment="1">
      <alignment vertical="top" wrapText="1" inden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65" fontId="8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9" fontId="8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 quotePrefix="1">
      <alignment horizontal="right" vertical="top" wrapText="1"/>
    </xf>
    <xf numFmtId="0" fontId="8" fillId="0" borderId="10" xfId="0" applyFont="1" applyFill="1" applyBorder="1" applyAlignment="1">
      <alignment vertical="top"/>
    </xf>
    <xf numFmtId="165" fontId="8" fillId="0" borderId="10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 wrapText="1"/>
    </xf>
    <xf numFmtId="9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164" fontId="9" fillId="0" borderId="18" xfId="0" applyNumberFormat="1" applyFont="1" applyBorder="1" applyAlignment="1">
      <alignment vertical="top" wrapText="1"/>
    </xf>
    <xf numFmtId="3" fontId="9" fillId="0" borderId="18" xfId="0" applyNumberFormat="1" applyFont="1" applyBorder="1" applyAlignment="1">
      <alignment vertical="top" wrapText="1"/>
    </xf>
    <xf numFmtId="164" fontId="8" fillId="0" borderId="10" xfId="0" applyNumberFormat="1" applyFont="1" applyBorder="1" applyAlignment="1" quotePrefix="1">
      <alignment horizontal="right" vertical="top" wrapText="1"/>
    </xf>
    <xf numFmtId="0" fontId="9" fillId="0" borderId="18" xfId="0" applyFont="1" applyBorder="1" applyAlignment="1">
      <alignment vertical="top" wrapText="1"/>
    </xf>
    <xf numFmtId="9" fontId="8" fillId="0" borderId="10" xfId="0" applyNumberFormat="1" applyFont="1" applyFill="1" applyBorder="1" applyAlignment="1">
      <alignment horizontal="right" vertical="top" wrapText="1"/>
    </xf>
    <xf numFmtId="166" fontId="8" fillId="0" borderId="10" xfId="0" applyNumberFormat="1" applyFont="1" applyFill="1" applyBorder="1" applyAlignment="1">
      <alignment vertical="top" wrapText="1"/>
    </xf>
    <xf numFmtId="166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166" fontId="9" fillId="0" borderId="18" xfId="0" applyNumberFormat="1" applyFont="1" applyBorder="1" applyAlignment="1">
      <alignment vertical="top" wrapText="1" indent="1"/>
    </xf>
    <xf numFmtId="10" fontId="9" fillId="0" borderId="18" xfId="0" applyNumberFormat="1" applyFont="1" applyBorder="1" applyAlignment="1">
      <alignment vertical="top" wrapText="1" indent="1"/>
    </xf>
    <xf numFmtId="22" fontId="9" fillId="0" borderId="18" xfId="0" applyNumberFormat="1" applyFont="1" applyBorder="1" applyAlignment="1" quotePrefix="1">
      <alignment horizontal="right" vertical="top" wrapText="1"/>
    </xf>
    <xf numFmtId="0" fontId="44" fillId="33" borderId="1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4" fontId="3" fillId="33" borderId="19" xfId="44" applyFont="1" applyFill="1" applyBorder="1" applyAlignment="1">
      <alignment horizontal="center" vertical="top" wrapText="1"/>
    </xf>
    <xf numFmtId="9" fontId="3" fillId="33" borderId="22" xfId="57" applyFont="1" applyFill="1" applyBorder="1" applyAlignment="1">
      <alignment horizontal="center" vertical="top" wrapText="1"/>
    </xf>
    <xf numFmtId="3" fontId="3" fillId="33" borderId="19" xfId="0" applyNumberFormat="1" applyFont="1" applyFill="1" applyBorder="1" applyAlignment="1">
      <alignment horizontal="center" vertical="top" wrapText="1"/>
    </xf>
    <xf numFmtId="9" fontId="3" fillId="33" borderId="19" xfId="5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50" zoomScaleNormal="150" zoomScalePageLayoutView="0" workbookViewId="0" topLeftCell="A4">
      <selection activeCell="A77" sqref="A77"/>
    </sheetView>
  </sheetViews>
  <sheetFormatPr defaultColWidth="9.140625" defaultRowHeight="12.75"/>
  <cols>
    <col min="1" max="1" width="14.00390625" style="1" customWidth="1"/>
    <col min="2" max="2" width="7.57421875" style="0" customWidth="1"/>
    <col min="3" max="3" width="9.00390625" style="0" customWidth="1"/>
    <col min="4" max="4" width="7.57421875" style="0" customWidth="1"/>
    <col min="5" max="5" width="9.7109375" style="3" customWidth="1"/>
    <col min="6" max="6" width="11.00390625" style="13" customWidth="1"/>
    <col min="7" max="7" width="9.57421875" style="12" customWidth="1"/>
    <col min="8" max="8" width="12.7109375" style="2" customWidth="1"/>
    <col min="9" max="9" width="10.57421875" style="0" customWidth="1"/>
    <col min="10" max="10" width="12.421875" style="2" customWidth="1"/>
    <col min="11" max="11" width="9.57421875" style="4" customWidth="1"/>
    <col min="12" max="12" width="9.8515625" style="6" customWidth="1"/>
    <col min="13" max="13" width="8.7109375" style="4" customWidth="1"/>
    <col min="15" max="15" width="9.421875" style="2" customWidth="1"/>
    <col min="16" max="16" width="13.421875" style="0" customWidth="1"/>
  </cols>
  <sheetData>
    <row r="1" ht="12.75">
      <c r="H1" s="7" t="s">
        <v>69</v>
      </c>
    </row>
    <row r="2" ht="12.75">
      <c r="H2" s="7" t="s">
        <v>88</v>
      </c>
    </row>
    <row r="3" spans="1:8" ht="12.75">
      <c r="A3" s="9" t="s">
        <v>75</v>
      </c>
      <c r="H3" s="7"/>
    </row>
    <row r="4" spans="1:8" ht="12.75">
      <c r="A4" s="8" t="s">
        <v>73</v>
      </c>
      <c r="H4" s="7"/>
    </row>
    <row r="5" spans="1:8" ht="12.75">
      <c r="A5" s="8" t="s">
        <v>74</v>
      </c>
      <c r="H5" s="7"/>
    </row>
    <row r="6" spans="1:8" ht="12.75">
      <c r="A6" s="8" t="s">
        <v>77</v>
      </c>
      <c r="H6" s="7"/>
    </row>
    <row r="7" spans="1:8" ht="13.5" thickBot="1">
      <c r="A7" s="11" t="s">
        <v>87</v>
      </c>
      <c r="H7" s="7"/>
    </row>
    <row r="8" spans="1:16" ht="13.5" customHeight="1">
      <c r="A8" s="15"/>
      <c r="B8" s="16"/>
      <c r="C8" s="17" t="s">
        <v>70</v>
      </c>
      <c r="D8" s="18"/>
      <c r="E8" s="19"/>
      <c r="F8" s="20"/>
      <c r="G8" s="21"/>
      <c r="H8" s="22" t="s">
        <v>72</v>
      </c>
      <c r="I8" s="23"/>
      <c r="J8" s="24"/>
      <c r="K8" s="25"/>
      <c r="L8" s="26"/>
      <c r="M8" s="27"/>
      <c r="N8" s="22" t="s">
        <v>127</v>
      </c>
      <c r="O8" s="28"/>
      <c r="P8" s="29" t="s">
        <v>63</v>
      </c>
    </row>
    <row r="9" spans="1:16" ht="13.5" thickBot="1">
      <c r="A9" s="15"/>
      <c r="B9" s="30"/>
      <c r="C9" s="30"/>
      <c r="D9" s="30"/>
      <c r="E9" s="31"/>
      <c r="F9" s="32"/>
      <c r="G9" s="33"/>
      <c r="H9" s="34"/>
      <c r="I9" s="35"/>
      <c r="J9" s="34"/>
      <c r="K9" s="36"/>
      <c r="L9" s="37"/>
      <c r="M9" s="38"/>
      <c r="N9" s="81" t="s">
        <v>126</v>
      </c>
      <c r="O9" s="39"/>
      <c r="P9" s="40"/>
    </row>
    <row r="10" spans="1:16" ht="12.75" customHeight="1" thickBot="1">
      <c r="A10" s="83" t="s">
        <v>56</v>
      </c>
      <c r="B10" s="84" t="s">
        <v>57</v>
      </c>
      <c r="C10" s="85"/>
      <c r="D10" s="86"/>
      <c r="E10" s="41" t="s">
        <v>78</v>
      </c>
      <c r="F10" s="87" t="s">
        <v>71</v>
      </c>
      <c r="G10" s="82" t="s">
        <v>64</v>
      </c>
      <c r="H10" s="87" t="s">
        <v>65</v>
      </c>
      <c r="I10" s="82" t="s">
        <v>66</v>
      </c>
      <c r="J10" s="87" t="s">
        <v>67</v>
      </c>
      <c r="K10" s="90" t="s">
        <v>68</v>
      </c>
      <c r="L10" s="89" t="s">
        <v>58</v>
      </c>
      <c r="M10" s="90" t="s">
        <v>59</v>
      </c>
      <c r="N10" s="82" t="s">
        <v>60</v>
      </c>
      <c r="O10" s="87" t="s">
        <v>10</v>
      </c>
      <c r="P10" s="88" t="s">
        <v>76</v>
      </c>
    </row>
    <row r="11" spans="1:16" ht="36.75" customHeight="1" thickBot="1">
      <c r="A11" s="83"/>
      <c r="B11" s="42" t="s">
        <v>61</v>
      </c>
      <c r="C11" s="42" t="s">
        <v>62</v>
      </c>
      <c r="D11" s="42" t="s">
        <v>63</v>
      </c>
      <c r="E11" s="43" t="s">
        <v>79</v>
      </c>
      <c r="F11" s="87"/>
      <c r="G11" s="82"/>
      <c r="H11" s="87"/>
      <c r="I11" s="82"/>
      <c r="J11" s="87"/>
      <c r="K11" s="90"/>
      <c r="L11" s="89"/>
      <c r="M11" s="90"/>
      <c r="N11" s="82"/>
      <c r="O11" s="87"/>
      <c r="P11" s="88"/>
    </row>
    <row r="12" spans="1:16" ht="12.75" customHeight="1" thickBot="1">
      <c r="A12" s="77" t="s">
        <v>0</v>
      </c>
      <c r="B12" s="52">
        <v>7</v>
      </c>
      <c r="C12" s="52">
        <v>14</v>
      </c>
      <c r="D12" s="51">
        <f>+B12+C12</f>
        <v>21</v>
      </c>
      <c r="E12" s="53">
        <v>0.392</v>
      </c>
      <c r="F12" s="54">
        <f>1173730982/1000000</f>
        <v>1173.730982</v>
      </c>
      <c r="G12" s="55">
        <v>154</v>
      </c>
      <c r="H12" s="54">
        <v>279.69</v>
      </c>
      <c r="I12" s="55">
        <v>84</v>
      </c>
      <c r="J12" s="54">
        <v>83.926</v>
      </c>
      <c r="K12" s="56">
        <f>+I12/G12</f>
        <v>0.5454545454545454</v>
      </c>
      <c r="L12" s="57" t="s">
        <v>90</v>
      </c>
      <c r="M12" s="75">
        <f>+J12/F12</f>
        <v>0.07150360797070619</v>
      </c>
      <c r="N12" s="55">
        <v>1</v>
      </c>
      <c r="O12" s="54">
        <v>0.28</v>
      </c>
      <c r="P12" s="66">
        <f aca="true" t="shared" si="0" ref="P12:P17">+J12+O12</f>
        <v>84.206</v>
      </c>
    </row>
    <row r="13" spans="1:16" ht="12.75" customHeight="1" thickBot="1">
      <c r="A13" s="77" t="s">
        <v>1</v>
      </c>
      <c r="B13" s="52">
        <v>0</v>
      </c>
      <c r="C13" s="52">
        <v>1</v>
      </c>
      <c r="D13" s="51">
        <f aca="true" t="shared" si="1" ref="D13:D64">+B13+C13</f>
        <v>1</v>
      </c>
      <c r="E13" s="53">
        <f>50000/1000000</f>
        <v>0.05</v>
      </c>
      <c r="F13" s="54">
        <f>130000000/1000000</f>
        <v>130</v>
      </c>
      <c r="G13" s="55">
        <v>25</v>
      </c>
      <c r="H13" s="54">
        <v>6.5</v>
      </c>
      <c r="I13" s="55">
        <v>25</v>
      </c>
      <c r="J13" s="54">
        <v>6.5</v>
      </c>
      <c r="K13" s="56">
        <f aca="true" t="shared" si="2" ref="K13:K64">+I13/G13</f>
        <v>1</v>
      </c>
      <c r="L13" s="57" t="s">
        <v>92</v>
      </c>
      <c r="M13" s="75">
        <f aca="true" t="shared" si="3" ref="M13:M64">+J13/F13</f>
        <v>0.05</v>
      </c>
      <c r="N13" s="55">
        <v>0</v>
      </c>
      <c r="O13" s="54">
        <v>0</v>
      </c>
      <c r="P13" s="66">
        <f t="shared" si="0"/>
        <v>6.5</v>
      </c>
    </row>
    <row r="14" spans="1:16" ht="12.75" customHeight="1" thickBot="1">
      <c r="A14" s="77" t="s">
        <v>2</v>
      </c>
      <c r="B14" s="52">
        <v>0</v>
      </c>
      <c r="C14" s="52">
        <v>5</v>
      </c>
      <c r="D14" s="51">
        <f t="shared" si="1"/>
        <v>5</v>
      </c>
      <c r="E14" s="53">
        <v>0.194</v>
      </c>
      <c r="F14" s="54">
        <f>441000000/1000000</f>
        <v>441</v>
      </c>
      <c r="G14" s="55">
        <v>57</v>
      </c>
      <c r="H14" s="54">
        <v>100</v>
      </c>
      <c r="I14" s="55">
        <v>30</v>
      </c>
      <c r="J14" s="54">
        <v>30</v>
      </c>
      <c r="K14" s="56">
        <f t="shared" si="2"/>
        <v>0.5263157894736842</v>
      </c>
      <c r="L14" s="57" t="s">
        <v>91</v>
      </c>
      <c r="M14" s="75">
        <f t="shared" si="3"/>
        <v>0.06802721088435375</v>
      </c>
      <c r="N14" s="55">
        <v>22</v>
      </c>
      <c r="O14" s="54">
        <v>3.8</v>
      </c>
      <c r="P14" s="66">
        <f t="shared" si="0"/>
        <v>33.8</v>
      </c>
    </row>
    <row r="15" spans="1:16" ht="12.75" customHeight="1" thickBot="1">
      <c r="A15" s="77" t="s">
        <v>3</v>
      </c>
      <c r="B15" s="52">
        <v>3</v>
      </c>
      <c r="C15" s="52">
        <v>0</v>
      </c>
      <c r="D15" s="51">
        <f t="shared" si="1"/>
        <v>3</v>
      </c>
      <c r="E15" s="53">
        <v>0.023</v>
      </c>
      <c r="F15" s="54">
        <f>149700000/1000000</f>
        <v>149.7</v>
      </c>
      <c r="G15" s="55">
        <v>13</v>
      </c>
      <c r="H15" s="54">
        <v>33.346</v>
      </c>
      <c r="I15" s="55">
        <v>4</v>
      </c>
      <c r="J15" s="54">
        <v>5.537</v>
      </c>
      <c r="K15" s="56">
        <f t="shared" si="2"/>
        <v>0.3076923076923077</v>
      </c>
      <c r="L15" s="57" t="s">
        <v>93</v>
      </c>
      <c r="M15" s="75">
        <f t="shared" si="3"/>
        <v>0.0369873079492318</v>
      </c>
      <c r="N15" s="55">
        <v>2</v>
      </c>
      <c r="O15" s="54">
        <v>0.068</v>
      </c>
      <c r="P15" s="66">
        <f t="shared" si="0"/>
        <v>5.6049999999999995</v>
      </c>
    </row>
    <row r="16" spans="1:16" ht="12.75" customHeight="1" thickBot="1">
      <c r="A16" s="77" t="s">
        <v>4</v>
      </c>
      <c r="B16" s="58">
        <v>0</v>
      </c>
      <c r="C16" s="58">
        <v>48</v>
      </c>
      <c r="D16" s="51">
        <f t="shared" si="1"/>
        <v>48</v>
      </c>
      <c r="E16" s="59">
        <v>2.151</v>
      </c>
      <c r="F16" s="60">
        <f>3398000000/1000000</f>
        <v>3398</v>
      </c>
      <c r="G16" s="14">
        <v>199</v>
      </c>
      <c r="H16" s="60">
        <v>257</v>
      </c>
      <c r="I16" s="14">
        <v>135</v>
      </c>
      <c r="J16" s="60">
        <v>171</v>
      </c>
      <c r="K16" s="56">
        <f t="shared" si="2"/>
        <v>0.678391959798995</v>
      </c>
      <c r="L16" s="57" t="s">
        <v>94</v>
      </c>
      <c r="M16" s="75">
        <f t="shared" si="3"/>
        <v>0.05032371983519718</v>
      </c>
      <c r="N16" s="14">
        <v>43</v>
      </c>
      <c r="O16" s="60">
        <v>3.688</v>
      </c>
      <c r="P16" s="66">
        <f t="shared" si="0"/>
        <v>174.688</v>
      </c>
    </row>
    <row r="17" spans="1:16" ht="12.75" customHeight="1" thickBot="1">
      <c r="A17" s="77" t="s">
        <v>5</v>
      </c>
      <c r="B17" s="58">
        <v>0</v>
      </c>
      <c r="C17" s="58">
        <v>8</v>
      </c>
      <c r="D17" s="55">
        <f t="shared" si="1"/>
        <v>8</v>
      </c>
      <c r="E17" s="59">
        <v>0.4</v>
      </c>
      <c r="F17" s="60">
        <f>200000000/1000000</f>
        <v>200</v>
      </c>
      <c r="G17" s="14">
        <v>88</v>
      </c>
      <c r="H17" s="60">
        <v>25</v>
      </c>
      <c r="I17" s="14">
        <v>34</v>
      </c>
      <c r="J17" s="60">
        <v>5.1</v>
      </c>
      <c r="K17" s="56">
        <f t="shared" si="2"/>
        <v>0.38636363636363635</v>
      </c>
      <c r="L17" s="57" t="s">
        <v>81</v>
      </c>
      <c r="M17" s="75">
        <f t="shared" si="3"/>
        <v>0.0255</v>
      </c>
      <c r="N17" s="14">
        <v>3</v>
      </c>
      <c r="O17" s="60">
        <v>0.1</v>
      </c>
      <c r="P17" s="66">
        <f t="shared" si="0"/>
        <v>5.199999999999999</v>
      </c>
    </row>
    <row r="18" spans="1:16" ht="12.75" customHeight="1" thickBot="1">
      <c r="A18" s="77" t="s">
        <v>6</v>
      </c>
      <c r="B18" s="58">
        <v>1</v>
      </c>
      <c r="C18" s="58">
        <v>0</v>
      </c>
      <c r="D18" s="51">
        <f t="shared" si="1"/>
        <v>1</v>
      </c>
      <c r="E18" s="59">
        <v>0.065</v>
      </c>
      <c r="F18" s="60">
        <f>22311100/1000000</f>
        <v>22.3111</v>
      </c>
      <c r="G18" s="14">
        <v>10</v>
      </c>
      <c r="H18" s="61" t="s">
        <v>89</v>
      </c>
      <c r="I18" s="14">
        <v>9</v>
      </c>
      <c r="J18" s="61" t="s">
        <v>89</v>
      </c>
      <c r="K18" s="56">
        <f t="shared" si="2"/>
        <v>0.9</v>
      </c>
      <c r="L18" s="62" t="s">
        <v>89</v>
      </c>
      <c r="M18" s="76" t="s">
        <v>89</v>
      </c>
      <c r="N18" s="14">
        <v>0</v>
      </c>
      <c r="O18" s="60">
        <v>0</v>
      </c>
      <c r="P18" s="67">
        <v>0</v>
      </c>
    </row>
    <row r="19" spans="1:16" ht="12.75" customHeight="1" thickBot="1">
      <c r="A19" s="77" t="s">
        <v>7</v>
      </c>
      <c r="B19" s="58">
        <v>2</v>
      </c>
      <c r="C19" s="58">
        <v>0</v>
      </c>
      <c r="D19" s="51">
        <f t="shared" si="1"/>
        <v>2</v>
      </c>
      <c r="E19" s="59">
        <v>0.035</v>
      </c>
      <c r="F19" s="60">
        <f>154000000/1000000</f>
        <v>154</v>
      </c>
      <c r="G19" s="14">
        <v>22</v>
      </c>
      <c r="H19" s="60">
        <v>12.7</v>
      </c>
      <c r="I19" s="14">
        <v>16</v>
      </c>
      <c r="J19" s="60">
        <v>8</v>
      </c>
      <c r="K19" s="56">
        <f t="shared" si="2"/>
        <v>0.7272727272727273</v>
      </c>
      <c r="L19" s="57" t="s">
        <v>95</v>
      </c>
      <c r="M19" s="75">
        <f t="shared" si="3"/>
        <v>0.05194805194805195</v>
      </c>
      <c r="N19" s="14">
        <v>0</v>
      </c>
      <c r="O19" s="60">
        <v>0</v>
      </c>
      <c r="P19" s="66">
        <f aca="true" t="shared" si="4" ref="P19:P50">+J19+O19</f>
        <v>8</v>
      </c>
    </row>
    <row r="20" spans="1:16" ht="12.75" customHeight="1" thickBot="1">
      <c r="A20" s="77" t="s">
        <v>8</v>
      </c>
      <c r="B20" s="58">
        <v>0</v>
      </c>
      <c r="C20" s="58">
        <v>1</v>
      </c>
      <c r="D20" s="51">
        <f t="shared" si="1"/>
        <v>1</v>
      </c>
      <c r="E20" s="59">
        <v>3</v>
      </c>
      <c r="F20" s="60">
        <f>340000000/1000000</f>
        <v>340</v>
      </c>
      <c r="G20" s="14">
        <v>32</v>
      </c>
      <c r="H20" s="60">
        <v>80</v>
      </c>
      <c r="I20" s="14">
        <v>32</v>
      </c>
      <c r="J20" s="60">
        <v>80</v>
      </c>
      <c r="K20" s="56">
        <f t="shared" si="2"/>
        <v>1</v>
      </c>
      <c r="L20" s="57" t="s">
        <v>82</v>
      </c>
      <c r="M20" s="75">
        <f t="shared" si="3"/>
        <v>0.23529411764705882</v>
      </c>
      <c r="N20" s="14">
        <v>0</v>
      </c>
      <c r="O20" s="60">
        <v>0</v>
      </c>
      <c r="P20" s="66">
        <f t="shared" si="4"/>
        <v>80</v>
      </c>
    </row>
    <row r="21" spans="1:16" ht="12.75" customHeight="1" thickBot="1">
      <c r="A21" s="77" t="s">
        <v>9</v>
      </c>
      <c r="B21" s="58">
        <v>6</v>
      </c>
      <c r="C21" s="58">
        <v>20</v>
      </c>
      <c r="D21" s="51">
        <f t="shared" si="1"/>
        <v>26</v>
      </c>
      <c r="E21" s="59">
        <v>1.261</v>
      </c>
      <c r="F21" s="60">
        <f>3043000000/1000000</f>
        <v>3043</v>
      </c>
      <c r="G21" s="14">
        <v>161</v>
      </c>
      <c r="H21" s="60">
        <v>565.648</v>
      </c>
      <c r="I21" s="14">
        <v>82</v>
      </c>
      <c r="J21" s="60">
        <v>276.158</v>
      </c>
      <c r="K21" s="56">
        <f t="shared" si="2"/>
        <v>0.5093167701863354</v>
      </c>
      <c r="L21" s="57" t="s">
        <v>96</v>
      </c>
      <c r="M21" s="75">
        <f t="shared" si="3"/>
        <v>0.09075188958264871</v>
      </c>
      <c r="N21" s="14">
        <v>11</v>
      </c>
      <c r="O21" s="60">
        <v>1.588</v>
      </c>
      <c r="P21" s="66">
        <f t="shared" si="4"/>
        <v>277.74600000000004</v>
      </c>
    </row>
    <row r="22" spans="1:16" ht="12.75" customHeight="1" thickBot="1">
      <c r="A22" s="77" t="s">
        <v>11</v>
      </c>
      <c r="B22" s="58">
        <v>21</v>
      </c>
      <c r="C22" s="58">
        <v>69</v>
      </c>
      <c r="D22" s="51">
        <f t="shared" si="1"/>
        <v>90</v>
      </c>
      <c r="E22" s="59">
        <v>2.289</v>
      </c>
      <c r="F22" s="60">
        <f>2596851984/1000000</f>
        <v>2596.851984</v>
      </c>
      <c r="G22" s="14">
        <v>638</v>
      </c>
      <c r="H22" s="60">
        <v>450.789</v>
      </c>
      <c r="I22" s="14">
        <v>297</v>
      </c>
      <c r="J22" s="60">
        <v>162.389</v>
      </c>
      <c r="K22" s="56">
        <f t="shared" si="2"/>
        <v>0.46551724137931033</v>
      </c>
      <c r="L22" s="57" t="s">
        <v>97</v>
      </c>
      <c r="M22" s="75">
        <f t="shared" si="3"/>
        <v>0.06253302113502363</v>
      </c>
      <c r="N22" s="14">
        <v>2</v>
      </c>
      <c r="O22" s="60">
        <v>1.569</v>
      </c>
      <c r="P22" s="66">
        <f t="shared" si="4"/>
        <v>163.958</v>
      </c>
    </row>
    <row r="23" spans="1:16" ht="12.75" customHeight="1" thickBot="1">
      <c r="A23" s="77" t="s">
        <v>12</v>
      </c>
      <c r="B23" s="58">
        <v>2</v>
      </c>
      <c r="C23" s="58">
        <v>0</v>
      </c>
      <c r="D23" s="51">
        <f t="shared" si="1"/>
        <v>2</v>
      </c>
      <c r="E23" s="59">
        <v>0.025</v>
      </c>
      <c r="F23" s="60">
        <f>179000000/1000000</f>
        <v>179</v>
      </c>
      <c r="G23" s="14">
        <v>20</v>
      </c>
      <c r="H23" s="60">
        <v>25</v>
      </c>
      <c r="I23" s="14">
        <v>4</v>
      </c>
      <c r="J23" s="60">
        <v>4.1</v>
      </c>
      <c r="K23" s="56">
        <f t="shared" si="2"/>
        <v>0.2</v>
      </c>
      <c r="L23" s="57" t="s">
        <v>98</v>
      </c>
      <c r="M23" s="75">
        <f t="shared" si="3"/>
        <v>0.02290502793296089</v>
      </c>
      <c r="N23" s="14">
        <v>0</v>
      </c>
      <c r="O23" s="60">
        <v>0</v>
      </c>
      <c r="P23" s="66">
        <f t="shared" si="4"/>
        <v>4.1</v>
      </c>
    </row>
    <row r="24" spans="1:16" ht="12.75" customHeight="1" thickBot="1">
      <c r="A24" s="77" t="s">
        <v>13</v>
      </c>
      <c r="B24" s="58">
        <v>0</v>
      </c>
      <c r="C24" s="58">
        <v>0</v>
      </c>
      <c r="D24" s="51">
        <f t="shared" si="1"/>
        <v>0</v>
      </c>
      <c r="E24" s="59">
        <v>0</v>
      </c>
      <c r="F24" s="60">
        <v>0</v>
      </c>
      <c r="G24" s="14">
        <v>0</v>
      </c>
      <c r="H24" s="60">
        <v>0</v>
      </c>
      <c r="I24" s="14">
        <v>0</v>
      </c>
      <c r="J24" s="60">
        <v>0</v>
      </c>
      <c r="K24" s="63" t="s">
        <v>89</v>
      </c>
      <c r="L24" s="62" t="s">
        <v>89</v>
      </c>
      <c r="M24" s="76" t="s">
        <v>89</v>
      </c>
      <c r="N24" s="14">
        <v>1</v>
      </c>
      <c r="O24" s="60">
        <v>2.163</v>
      </c>
      <c r="P24" s="66">
        <f t="shared" si="4"/>
        <v>2.163</v>
      </c>
    </row>
    <row r="25" spans="1:16" ht="12.75" customHeight="1" thickBot="1">
      <c r="A25" s="77" t="s">
        <v>14</v>
      </c>
      <c r="B25" s="58">
        <v>4</v>
      </c>
      <c r="C25" s="58">
        <v>10</v>
      </c>
      <c r="D25" s="51">
        <f t="shared" si="1"/>
        <v>14</v>
      </c>
      <c r="E25" s="59">
        <v>0.518</v>
      </c>
      <c r="F25" s="60">
        <f>2275000000/1000000</f>
        <v>2275</v>
      </c>
      <c r="G25" s="14">
        <v>114</v>
      </c>
      <c r="H25" s="60">
        <v>458.127</v>
      </c>
      <c r="I25" s="14">
        <v>10</v>
      </c>
      <c r="J25" s="60">
        <v>88.2</v>
      </c>
      <c r="K25" s="56">
        <f t="shared" si="2"/>
        <v>0.08771929824561403</v>
      </c>
      <c r="L25" s="57" t="s">
        <v>99</v>
      </c>
      <c r="M25" s="75">
        <f t="shared" si="3"/>
        <v>0.03876923076923077</v>
      </c>
      <c r="N25" s="14">
        <v>4</v>
      </c>
      <c r="O25" s="60">
        <v>0.15</v>
      </c>
      <c r="P25" s="66">
        <f t="shared" si="4"/>
        <v>88.35000000000001</v>
      </c>
    </row>
    <row r="26" spans="1:16" ht="12.75" customHeight="1" thickBot="1">
      <c r="A26" s="77" t="s">
        <v>15</v>
      </c>
      <c r="B26" s="58">
        <v>3</v>
      </c>
      <c r="C26" s="58">
        <v>0</v>
      </c>
      <c r="D26" s="51">
        <f t="shared" si="1"/>
        <v>3</v>
      </c>
      <c r="E26" s="59">
        <v>0.012</v>
      </c>
      <c r="F26" s="60">
        <f>104000000/1000000</f>
        <v>104</v>
      </c>
      <c r="G26" s="14">
        <v>10</v>
      </c>
      <c r="H26" s="60">
        <v>3.829</v>
      </c>
      <c r="I26" s="14">
        <v>2</v>
      </c>
      <c r="J26" s="60">
        <v>1.064</v>
      </c>
      <c r="K26" s="56">
        <f t="shared" si="2"/>
        <v>0.2</v>
      </c>
      <c r="L26" s="57" t="s">
        <v>100</v>
      </c>
      <c r="M26" s="75">
        <f t="shared" si="3"/>
        <v>0.01023076923076923</v>
      </c>
      <c r="N26" s="14">
        <v>0</v>
      </c>
      <c r="O26" s="60">
        <v>0</v>
      </c>
      <c r="P26" s="66">
        <f t="shared" si="4"/>
        <v>1.064</v>
      </c>
    </row>
    <row r="27" spans="1:16" ht="12.75" customHeight="1" thickBot="1">
      <c r="A27" s="77" t="s">
        <v>16</v>
      </c>
      <c r="B27" s="58">
        <v>1</v>
      </c>
      <c r="C27" s="58">
        <v>0</v>
      </c>
      <c r="D27" s="51">
        <f t="shared" si="1"/>
        <v>1</v>
      </c>
      <c r="E27" s="59">
        <v>0.012</v>
      </c>
      <c r="F27" s="60">
        <f>850000000/1000000</f>
        <v>850</v>
      </c>
      <c r="G27" s="14">
        <v>4</v>
      </c>
      <c r="H27" s="60">
        <v>3.116</v>
      </c>
      <c r="I27" s="14">
        <v>4</v>
      </c>
      <c r="J27" s="60">
        <v>3.116</v>
      </c>
      <c r="K27" s="56">
        <f t="shared" si="2"/>
        <v>1</v>
      </c>
      <c r="L27" s="57" t="s">
        <v>101</v>
      </c>
      <c r="M27" s="75">
        <f t="shared" si="3"/>
        <v>0.003665882352941177</v>
      </c>
      <c r="N27" s="14">
        <v>13</v>
      </c>
      <c r="O27" s="60">
        <v>0.608</v>
      </c>
      <c r="P27" s="66">
        <f t="shared" si="4"/>
        <v>3.724</v>
      </c>
    </row>
    <row r="28" spans="1:16" ht="12.75" customHeight="1" thickBot="1">
      <c r="A28" s="77" t="s">
        <v>17</v>
      </c>
      <c r="B28" s="58">
        <v>0</v>
      </c>
      <c r="C28" s="58">
        <v>1</v>
      </c>
      <c r="D28" s="51">
        <f t="shared" si="1"/>
        <v>1</v>
      </c>
      <c r="E28" s="59">
        <v>0.0266</v>
      </c>
      <c r="F28" s="60">
        <f>179400000/1000000</f>
        <v>179.4</v>
      </c>
      <c r="G28" s="14">
        <v>6</v>
      </c>
      <c r="H28" s="60">
        <v>2.683</v>
      </c>
      <c r="I28" s="14">
        <v>1</v>
      </c>
      <c r="J28" s="60">
        <v>0</v>
      </c>
      <c r="K28" s="56">
        <f t="shared" si="2"/>
        <v>0.16666666666666666</v>
      </c>
      <c r="L28" s="57" t="s">
        <v>102</v>
      </c>
      <c r="M28" s="75">
        <f t="shared" si="3"/>
        <v>0</v>
      </c>
      <c r="N28" s="14">
        <v>1</v>
      </c>
      <c r="O28" s="60">
        <v>0.12</v>
      </c>
      <c r="P28" s="66">
        <f t="shared" si="4"/>
        <v>0.12</v>
      </c>
    </row>
    <row r="29" spans="1:16" ht="12.75" customHeight="1" thickBot="1">
      <c r="A29" s="77" t="s">
        <v>18</v>
      </c>
      <c r="B29" s="58">
        <v>0</v>
      </c>
      <c r="C29" s="58">
        <v>3</v>
      </c>
      <c r="D29" s="51">
        <f t="shared" si="1"/>
        <v>3</v>
      </c>
      <c r="E29" s="59">
        <v>0.075</v>
      </c>
      <c r="F29" s="60">
        <f>191148000/1000000</f>
        <v>191.148</v>
      </c>
      <c r="G29" s="14">
        <v>27</v>
      </c>
      <c r="H29" s="60">
        <v>44.374</v>
      </c>
      <c r="I29" s="14">
        <v>6</v>
      </c>
      <c r="J29" s="60">
        <v>14.036</v>
      </c>
      <c r="K29" s="56">
        <f t="shared" si="2"/>
        <v>0.2222222222222222</v>
      </c>
      <c r="L29" s="57" t="s">
        <v>103</v>
      </c>
      <c r="M29" s="75">
        <f t="shared" si="3"/>
        <v>0.07343001234645406</v>
      </c>
      <c r="N29" s="14">
        <v>4</v>
      </c>
      <c r="O29" s="60">
        <v>3.123</v>
      </c>
      <c r="P29" s="66">
        <f t="shared" si="4"/>
        <v>17.159</v>
      </c>
    </row>
    <row r="30" spans="1:16" ht="12.75" customHeight="1" thickBot="1">
      <c r="A30" s="77" t="s">
        <v>19</v>
      </c>
      <c r="B30" s="58">
        <v>1</v>
      </c>
      <c r="C30" s="58">
        <v>4</v>
      </c>
      <c r="D30" s="51">
        <f t="shared" si="1"/>
        <v>5</v>
      </c>
      <c r="E30" s="59">
        <v>0.109</v>
      </c>
      <c r="F30" s="60">
        <f>200408000/1000000</f>
        <v>200.408</v>
      </c>
      <c r="G30" s="14">
        <v>122</v>
      </c>
      <c r="H30" s="60">
        <v>10.35</v>
      </c>
      <c r="I30" s="14">
        <v>70</v>
      </c>
      <c r="J30" s="60">
        <v>2.457</v>
      </c>
      <c r="K30" s="56">
        <f t="shared" si="2"/>
        <v>0.5737704918032787</v>
      </c>
      <c r="L30" s="57" t="s">
        <v>104</v>
      </c>
      <c r="M30" s="75">
        <f t="shared" si="3"/>
        <v>0.012259989621172808</v>
      </c>
      <c r="N30" s="14">
        <v>2</v>
      </c>
      <c r="O30" s="60">
        <v>0.515</v>
      </c>
      <c r="P30" s="66">
        <f t="shared" si="4"/>
        <v>2.972</v>
      </c>
    </row>
    <row r="31" spans="1:16" ht="12.75" customHeight="1" thickBot="1">
      <c r="A31" s="77" t="s">
        <v>20</v>
      </c>
      <c r="B31" s="58">
        <v>2</v>
      </c>
      <c r="C31" s="58">
        <v>0</v>
      </c>
      <c r="D31" s="51">
        <f t="shared" si="1"/>
        <v>2</v>
      </c>
      <c r="E31" s="59">
        <v>0.015</v>
      </c>
      <c r="F31" s="60">
        <f>98000000/1000000</f>
        <v>98</v>
      </c>
      <c r="G31" s="14">
        <v>5</v>
      </c>
      <c r="H31" s="60">
        <v>12</v>
      </c>
      <c r="I31" s="14">
        <v>5</v>
      </c>
      <c r="J31" s="60">
        <v>12</v>
      </c>
      <c r="K31" s="56">
        <f t="shared" si="2"/>
        <v>1</v>
      </c>
      <c r="L31" s="57" t="s">
        <v>105</v>
      </c>
      <c r="M31" s="75">
        <f t="shared" si="3"/>
        <v>0.12244897959183673</v>
      </c>
      <c r="N31" s="14">
        <v>0</v>
      </c>
      <c r="O31" s="60">
        <v>0</v>
      </c>
      <c r="P31" s="66">
        <f t="shared" si="4"/>
        <v>12</v>
      </c>
    </row>
    <row r="32" spans="1:16" ht="12.75" customHeight="1" thickBot="1">
      <c r="A32" s="77" t="s">
        <v>21</v>
      </c>
      <c r="B32" s="58">
        <v>0</v>
      </c>
      <c r="C32" s="58">
        <v>1</v>
      </c>
      <c r="D32" s="51">
        <f t="shared" si="1"/>
        <v>1</v>
      </c>
      <c r="E32" s="59">
        <v>0.052</v>
      </c>
      <c r="F32" s="60">
        <f>30000000/1000000</f>
        <v>30</v>
      </c>
      <c r="G32" s="14">
        <v>17</v>
      </c>
      <c r="H32" s="60">
        <v>0.711</v>
      </c>
      <c r="I32" s="14">
        <v>2</v>
      </c>
      <c r="J32" s="60">
        <v>0.033</v>
      </c>
      <c r="K32" s="56">
        <f t="shared" si="2"/>
        <v>0.11764705882352941</v>
      </c>
      <c r="L32" s="57" t="s">
        <v>125</v>
      </c>
      <c r="M32" s="75">
        <f t="shared" si="3"/>
        <v>0.0011</v>
      </c>
      <c r="N32" s="14">
        <v>0</v>
      </c>
      <c r="O32" s="60">
        <v>0</v>
      </c>
      <c r="P32" s="66">
        <f t="shared" si="4"/>
        <v>0.033</v>
      </c>
    </row>
    <row r="33" spans="1:16" ht="12.75" customHeight="1" thickBot="1">
      <c r="A33" s="77" t="s">
        <v>22</v>
      </c>
      <c r="B33" s="58">
        <v>0</v>
      </c>
      <c r="C33" s="58">
        <v>6</v>
      </c>
      <c r="D33" s="51">
        <f t="shared" si="1"/>
        <v>6</v>
      </c>
      <c r="E33" s="59">
        <v>0.797</v>
      </c>
      <c r="F33" s="60">
        <f>664016500/1000000</f>
        <v>664.0165</v>
      </c>
      <c r="G33" s="14">
        <v>31</v>
      </c>
      <c r="H33" s="60">
        <v>40.63</v>
      </c>
      <c r="I33" s="14">
        <v>16</v>
      </c>
      <c r="J33" s="60">
        <v>29.105</v>
      </c>
      <c r="K33" s="56">
        <f t="shared" si="2"/>
        <v>0.5161290322580645</v>
      </c>
      <c r="L33" s="57" t="s">
        <v>107</v>
      </c>
      <c r="M33" s="75">
        <f t="shared" si="3"/>
        <v>0.04383174213291387</v>
      </c>
      <c r="N33" s="14">
        <v>0</v>
      </c>
      <c r="O33" s="60">
        <v>0</v>
      </c>
      <c r="P33" s="66">
        <f t="shared" si="4"/>
        <v>29.105</v>
      </c>
    </row>
    <row r="34" spans="1:16" ht="12.75" customHeight="1" thickBot="1">
      <c r="A34" s="77" t="s">
        <v>23</v>
      </c>
      <c r="B34" s="58">
        <v>14</v>
      </c>
      <c r="C34" s="58">
        <v>0</v>
      </c>
      <c r="D34" s="51">
        <f t="shared" si="1"/>
        <v>14</v>
      </c>
      <c r="E34" s="59">
        <v>0.648</v>
      </c>
      <c r="F34" s="60">
        <f>451749206/1000000</f>
        <v>451.749206</v>
      </c>
      <c r="G34" s="14">
        <v>77</v>
      </c>
      <c r="H34" s="60">
        <v>58.917</v>
      </c>
      <c r="I34" s="14">
        <v>9</v>
      </c>
      <c r="J34" s="60">
        <v>14.357</v>
      </c>
      <c r="K34" s="56">
        <f t="shared" si="2"/>
        <v>0.11688311688311688</v>
      </c>
      <c r="L34" s="57" t="s">
        <v>85</v>
      </c>
      <c r="M34" s="75">
        <f t="shared" si="3"/>
        <v>0.031780908099703443</v>
      </c>
      <c r="N34" s="14">
        <v>7</v>
      </c>
      <c r="O34" s="60">
        <v>4</v>
      </c>
      <c r="P34" s="66">
        <f t="shared" si="4"/>
        <v>18.357</v>
      </c>
    </row>
    <row r="35" spans="1:16" ht="12.75" customHeight="1" thickBot="1">
      <c r="A35" s="77" t="s">
        <v>24</v>
      </c>
      <c r="B35" s="58">
        <v>0</v>
      </c>
      <c r="C35" s="58">
        <v>8</v>
      </c>
      <c r="D35" s="51">
        <f t="shared" si="1"/>
        <v>8</v>
      </c>
      <c r="E35" s="59">
        <v>0.575</v>
      </c>
      <c r="F35" s="60">
        <f>1230000000/1000000</f>
        <v>1230</v>
      </c>
      <c r="G35" s="14">
        <v>82</v>
      </c>
      <c r="H35" s="60">
        <v>156</v>
      </c>
      <c r="I35" s="14">
        <v>64</v>
      </c>
      <c r="J35" s="60">
        <v>98</v>
      </c>
      <c r="K35" s="56">
        <f t="shared" si="2"/>
        <v>0.7804878048780488</v>
      </c>
      <c r="L35" s="57" t="s">
        <v>99</v>
      </c>
      <c r="M35" s="75">
        <f t="shared" si="3"/>
        <v>0.07967479674796749</v>
      </c>
      <c r="N35" s="14">
        <v>9</v>
      </c>
      <c r="O35" s="60">
        <v>1.2</v>
      </c>
      <c r="P35" s="66">
        <f t="shared" si="4"/>
        <v>99.2</v>
      </c>
    </row>
    <row r="36" spans="1:16" ht="12.75" customHeight="1" thickBot="1">
      <c r="A36" s="77" t="s">
        <v>25</v>
      </c>
      <c r="B36" s="58">
        <v>0</v>
      </c>
      <c r="C36" s="58">
        <v>1</v>
      </c>
      <c r="D36" s="51">
        <f t="shared" si="1"/>
        <v>1</v>
      </c>
      <c r="E36" s="59">
        <v>0.05</v>
      </c>
      <c r="F36" s="60">
        <f>27000000/1000000</f>
        <v>27</v>
      </c>
      <c r="G36" s="14">
        <v>9</v>
      </c>
      <c r="H36" s="60">
        <v>5.027</v>
      </c>
      <c r="I36" s="14">
        <v>4</v>
      </c>
      <c r="J36" s="60">
        <v>1.77</v>
      </c>
      <c r="K36" s="56">
        <f t="shared" si="2"/>
        <v>0.4444444444444444</v>
      </c>
      <c r="L36" s="57" t="s">
        <v>108</v>
      </c>
      <c r="M36" s="75">
        <f t="shared" si="3"/>
        <v>0.06555555555555556</v>
      </c>
      <c r="N36" s="14">
        <v>0</v>
      </c>
      <c r="O36" s="60">
        <v>0</v>
      </c>
      <c r="P36" s="66">
        <f t="shared" si="4"/>
        <v>1.77</v>
      </c>
    </row>
    <row r="37" spans="1:16" ht="12.75" customHeight="1" thickBot="1">
      <c r="A37" s="77" t="s">
        <v>26</v>
      </c>
      <c r="B37" s="58">
        <v>4</v>
      </c>
      <c r="C37" s="58">
        <v>1</v>
      </c>
      <c r="D37" s="51">
        <f t="shared" si="1"/>
        <v>5</v>
      </c>
      <c r="E37" s="59">
        <v>0.102</v>
      </c>
      <c r="F37" s="60">
        <f>138330000/1000000</f>
        <v>138.33</v>
      </c>
      <c r="G37" s="14">
        <v>37</v>
      </c>
      <c r="H37" s="60">
        <v>28.021</v>
      </c>
      <c r="I37" s="14">
        <v>30</v>
      </c>
      <c r="J37" s="60">
        <v>23.484</v>
      </c>
      <c r="K37" s="56">
        <f t="shared" si="2"/>
        <v>0.8108108108108109</v>
      </c>
      <c r="L37" s="57" t="s">
        <v>109</v>
      </c>
      <c r="M37" s="75">
        <f t="shared" si="3"/>
        <v>0.16976794621557145</v>
      </c>
      <c r="N37" s="14">
        <v>81</v>
      </c>
      <c r="O37" s="60">
        <v>3.102</v>
      </c>
      <c r="P37" s="66">
        <f t="shared" si="4"/>
        <v>26.586000000000002</v>
      </c>
    </row>
    <row r="38" spans="1:16" ht="12.75" customHeight="1" thickBot="1">
      <c r="A38" s="77" t="s">
        <v>27</v>
      </c>
      <c r="B38" s="58">
        <v>7</v>
      </c>
      <c r="C38" s="58">
        <v>0</v>
      </c>
      <c r="D38" s="51">
        <f t="shared" si="1"/>
        <v>7</v>
      </c>
      <c r="E38" s="59">
        <v>0.15</v>
      </c>
      <c r="F38" s="60">
        <f>163445000/1000000</f>
        <v>163.445</v>
      </c>
      <c r="G38" s="14">
        <v>40</v>
      </c>
      <c r="H38" s="60">
        <v>40.08</v>
      </c>
      <c r="I38" s="14">
        <v>18</v>
      </c>
      <c r="J38" s="60">
        <v>27.54</v>
      </c>
      <c r="K38" s="56">
        <f t="shared" si="2"/>
        <v>0.45</v>
      </c>
      <c r="L38" s="57" t="s">
        <v>110</v>
      </c>
      <c r="M38" s="75">
        <f t="shared" si="3"/>
        <v>0.16849704793661477</v>
      </c>
      <c r="N38" s="14">
        <v>1</v>
      </c>
      <c r="O38" s="60">
        <v>0.519</v>
      </c>
      <c r="P38" s="66">
        <f t="shared" si="4"/>
        <v>28.058999999999997</v>
      </c>
    </row>
    <row r="39" spans="1:16" ht="12.75" customHeight="1" thickBot="1">
      <c r="A39" s="77" t="s">
        <v>28</v>
      </c>
      <c r="B39" s="58">
        <v>3</v>
      </c>
      <c r="C39" s="58">
        <v>0</v>
      </c>
      <c r="D39" s="51">
        <f t="shared" si="1"/>
        <v>3</v>
      </c>
      <c r="E39" s="59">
        <v>0.14</v>
      </c>
      <c r="F39" s="60">
        <f>116500000/1000000</f>
        <v>116.5</v>
      </c>
      <c r="G39" s="14">
        <v>38</v>
      </c>
      <c r="H39" s="60">
        <v>19.515</v>
      </c>
      <c r="I39" s="14">
        <v>11</v>
      </c>
      <c r="J39" s="60">
        <v>1.041</v>
      </c>
      <c r="K39" s="56">
        <f t="shared" si="2"/>
        <v>0.2894736842105263</v>
      </c>
      <c r="L39" s="57" t="s">
        <v>80</v>
      </c>
      <c r="M39" s="75">
        <f t="shared" si="3"/>
        <v>0.008935622317596566</v>
      </c>
      <c r="N39" s="14">
        <v>0</v>
      </c>
      <c r="O39" s="60">
        <v>0</v>
      </c>
      <c r="P39" s="66">
        <f t="shared" si="4"/>
        <v>1.041</v>
      </c>
    </row>
    <row r="40" spans="1:16" ht="12.75" customHeight="1" thickBot="1">
      <c r="A40" s="77" t="s">
        <v>29</v>
      </c>
      <c r="B40" s="58">
        <v>1</v>
      </c>
      <c r="C40" s="58">
        <v>0</v>
      </c>
      <c r="D40" s="51">
        <f t="shared" si="1"/>
        <v>1</v>
      </c>
      <c r="E40" s="59">
        <v>0.003</v>
      </c>
      <c r="F40" s="60">
        <f>29000000/1000000</f>
        <v>29</v>
      </c>
      <c r="G40" s="14">
        <v>7</v>
      </c>
      <c r="H40" s="60">
        <v>2.271</v>
      </c>
      <c r="I40" s="14">
        <v>3</v>
      </c>
      <c r="J40" s="60">
        <v>0.945</v>
      </c>
      <c r="K40" s="56">
        <f t="shared" si="2"/>
        <v>0.42857142857142855</v>
      </c>
      <c r="L40" s="57" t="s">
        <v>111</v>
      </c>
      <c r="M40" s="75">
        <f t="shared" si="3"/>
        <v>0.03258620689655172</v>
      </c>
      <c r="N40" s="14">
        <v>0</v>
      </c>
      <c r="O40" s="60">
        <v>0</v>
      </c>
      <c r="P40" s="66">
        <f t="shared" si="4"/>
        <v>0.945</v>
      </c>
    </row>
    <row r="41" spans="1:16" ht="12.75" customHeight="1" thickBot="1">
      <c r="A41" s="77" t="s">
        <v>30</v>
      </c>
      <c r="B41" s="58">
        <v>0</v>
      </c>
      <c r="C41" s="58">
        <v>2</v>
      </c>
      <c r="D41" s="51">
        <f t="shared" si="1"/>
        <v>2</v>
      </c>
      <c r="E41" s="59">
        <v>0.17</v>
      </c>
      <c r="F41" s="60">
        <f>69000000/1000000</f>
        <v>69</v>
      </c>
      <c r="G41" s="14">
        <v>9</v>
      </c>
      <c r="H41" s="60">
        <v>23.7</v>
      </c>
      <c r="I41" s="14">
        <v>5</v>
      </c>
      <c r="J41" s="60">
        <v>11.4</v>
      </c>
      <c r="K41" s="56">
        <f t="shared" si="2"/>
        <v>0.5555555555555556</v>
      </c>
      <c r="L41" s="57" t="s">
        <v>112</v>
      </c>
      <c r="M41" s="75">
        <f t="shared" si="3"/>
        <v>0.16521739130434784</v>
      </c>
      <c r="N41" s="14">
        <v>4</v>
      </c>
      <c r="O41" s="60">
        <v>0.24</v>
      </c>
      <c r="P41" s="66">
        <f t="shared" si="4"/>
        <v>11.64</v>
      </c>
    </row>
    <row r="42" spans="1:16" ht="12.75" customHeight="1" thickBot="1">
      <c r="A42" s="77" t="s">
        <v>31</v>
      </c>
      <c r="B42" s="58">
        <v>12</v>
      </c>
      <c r="C42" s="58">
        <v>0</v>
      </c>
      <c r="D42" s="51">
        <f t="shared" si="1"/>
        <v>12</v>
      </c>
      <c r="E42" s="59">
        <v>0.15</v>
      </c>
      <c r="F42" s="60">
        <f>390040000/1000000</f>
        <v>390.04</v>
      </c>
      <c r="G42" s="14">
        <v>25</v>
      </c>
      <c r="H42" s="60">
        <v>149.142</v>
      </c>
      <c r="I42" s="14">
        <v>19</v>
      </c>
      <c r="J42" s="60">
        <v>135.124</v>
      </c>
      <c r="K42" s="56">
        <f t="shared" si="2"/>
        <v>0.76</v>
      </c>
      <c r="L42" s="57" t="s">
        <v>113</v>
      </c>
      <c r="M42" s="75">
        <f t="shared" si="3"/>
        <v>0.34643626294739</v>
      </c>
      <c r="N42" s="14">
        <v>4</v>
      </c>
      <c r="O42" s="60">
        <v>1.668</v>
      </c>
      <c r="P42" s="66">
        <f t="shared" si="4"/>
        <v>136.792</v>
      </c>
    </row>
    <row r="43" spans="1:16" ht="12.75" customHeight="1" thickBot="1">
      <c r="A43" s="77" t="s">
        <v>32</v>
      </c>
      <c r="B43" s="58">
        <v>0</v>
      </c>
      <c r="C43" s="58">
        <v>1</v>
      </c>
      <c r="D43" s="51">
        <f t="shared" si="1"/>
        <v>1</v>
      </c>
      <c r="E43" s="59">
        <v>0.012</v>
      </c>
      <c r="F43" s="60">
        <f>7000000/1000000</f>
        <v>7</v>
      </c>
      <c r="G43" s="14">
        <v>12</v>
      </c>
      <c r="H43" s="60">
        <v>0.832</v>
      </c>
      <c r="I43" s="14">
        <v>5</v>
      </c>
      <c r="J43" s="60">
        <v>0.677</v>
      </c>
      <c r="K43" s="56">
        <f t="shared" si="2"/>
        <v>0.4166666666666667</v>
      </c>
      <c r="L43" s="57" t="s">
        <v>84</v>
      </c>
      <c r="M43" s="75">
        <f t="shared" si="3"/>
        <v>0.09671428571428572</v>
      </c>
      <c r="N43" s="14">
        <v>3</v>
      </c>
      <c r="O43" s="60">
        <v>0.221</v>
      </c>
      <c r="P43" s="66">
        <f t="shared" si="4"/>
        <v>0.898</v>
      </c>
    </row>
    <row r="44" spans="1:16" ht="12.75" customHeight="1" thickBot="1">
      <c r="A44" s="77" t="s">
        <v>33</v>
      </c>
      <c r="B44" s="58">
        <v>0</v>
      </c>
      <c r="C44" s="58">
        <v>12</v>
      </c>
      <c r="D44" s="51">
        <f t="shared" si="1"/>
        <v>12</v>
      </c>
      <c r="E44" s="59">
        <v>1.055</v>
      </c>
      <c r="F44" s="60">
        <f>660000000/1000000</f>
        <v>660</v>
      </c>
      <c r="G44" s="14">
        <v>352</v>
      </c>
      <c r="H44" s="60">
        <v>210</v>
      </c>
      <c r="I44" s="14">
        <v>69</v>
      </c>
      <c r="J44" s="60">
        <v>34.6</v>
      </c>
      <c r="K44" s="56">
        <f t="shared" si="2"/>
        <v>0.19602272727272727</v>
      </c>
      <c r="L44" s="57" t="s">
        <v>114</v>
      </c>
      <c r="M44" s="75">
        <f t="shared" si="3"/>
        <v>0.05242424242424243</v>
      </c>
      <c r="N44" s="14">
        <v>14</v>
      </c>
      <c r="O44" s="60">
        <v>4.981</v>
      </c>
      <c r="P44" s="66">
        <f t="shared" si="4"/>
        <v>39.581</v>
      </c>
    </row>
    <row r="45" spans="1:16" ht="12.75" customHeight="1" thickBot="1">
      <c r="A45" s="77" t="s">
        <v>34</v>
      </c>
      <c r="B45" s="58">
        <v>10</v>
      </c>
      <c r="C45" s="58">
        <v>0</v>
      </c>
      <c r="D45" s="51">
        <f t="shared" si="1"/>
        <v>10</v>
      </c>
      <c r="E45" s="59">
        <v>0.152</v>
      </c>
      <c r="F45" s="60">
        <f>1083700000/1000000</f>
        <v>1083.7</v>
      </c>
      <c r="G45" s="14">
        <v>79</v>
      </c>
      <c r="H45" s="60">
        <v>46.686</v>
      </c>
      <c r="I45" s="14">
        <v>10</v>
      </c>
      <c r="J45" s="60">
        <v>3.404</v>
      </c>
      <c r="K45" s="56">
        <f t="shared" si="2"/>
        <v>0.12658227848101267</v>
      </c>
      <c r="L45" s="57" t="s">
        <v>85</v>
      </c>
      <c r="M45" s="75">
        <f t="shared" si="3"/>
        <v>0.00314109070776045</v>
      </c>
      <c r="N45" s="14">
        <v>0</v>
      </c>
      <c r="O45" s="60">
        <v>0</v>
      </c>
      <c r="P45" s="66">
        <f t="shared" si="4"/>
        <v>3.404</v>
      </c>
    </row>
    <row r="46" spans="1:16" ht="12.75" customHeight="1" thickBot="1">
      <c r="A46" s="77" t="s">
        <v>35</v>
      </c>
      <c r="B46" s="58">
        <v>0</v>
      </c>
      <c r="C46" s="58">
        <v>0</v>
      </c>
      <c r="D46" s="51">
        <f t="shared" si="1"/>
        <v>0</v>
      </c>
      <c r="E46" s="59">
        <v>0</v>
      </c>
      <c r="F46" s="60">
        <v>0</v>
      </c>
      <c r="G46" s="14">
        <v>0</v>
      </c>
      <c r="H46" s="60">
        <v>0</v>
      </c>
      <c r="I46" s="14">
        <v>0</v>
      </c>
      <c r="J46" s="60">
        <v>0</v>
      </c>
      <c r="K46" s="63" t="s">
        <v>89</v>
      </c>
      <c r="L46" s="62" t="s">
        <v>89</v>
      </c>
      <c r="M46" s="76" t="s">
        <v>89</v>
      </c>
      <c r="N46" s="14">
        <v>2</v>
      </c>
      <c r="O46" s="60">
        <v>0.123</v>
      </c>
      <c r="P46" s="66">
        <f t="shared" si="4"/>
        <v>0.123</v>
      </c>
    </row>
    <row r="47" spans="1:16" ht="12.75" customHeight="1" thickBot="1">
      <c r="A47" s="77" t="s">
        <v>36</v>
      </c>
      <c r="B47" s="58">
        <v>1</v>
      </c>
      <c r="C47" s="58">
        <v>5</v>
      </c>
      <c r="D47" s="51">
        <f t="shared" si="1"/>
        <v>6</v>
      </c>
      <c r="E47" s="59">
        <v>0.1517</v>
      </c>
      <c r="F47" s="60">
        <f>1242930421/1000000</f>
        <v>1242.930421</v>
      </c>
      <c r="G47" s="14">
        <v>111</v>
      </c>
      <c r="H47" s="60">
        <v>132.838</v>
      </c>
      <c r="I47" s="14">
        <v>66</v>
      </c>
      <c r="J47" s="60">
        <v>26.771</v>
      </c>
      <c r="K47" s="56">
        <f t="shared" si="2"/>
        <v>0.5945945945945946</v>
      </c>
      <c r="L47" s="57" t="s">
        <v>115</v>
      </c>
      <c r="M47" s="75">
        <f t="shared" si="3"/>
        <v>0.021538615153100352</v>
      </c>
      <c r="N47" s="14">
        <v>3</v>
      </c>
      <c r="O47" s="60">
        <v>1.008</v>
      </c>
      <c r="P47" s="66">
        <f t="shared" si="4"/>
        <v>27.779</v>
      </c>
    </row>
    <row r="48" spans="1:16" ht="12.75" customHeight="1" thickBot="1">
      <c r="A48" s="77" t="s">
        <v>37</v>
      </c>
      <c r="B48" s="58">
        <v>0</v>
      </c>
      <c r="C48" s="58">
        <v>0</v>
      </c>
      <c r="D48" s="51">
        <f t="shared" si="1"/>
        <v>0</v>
      </c>
      <c r="E48" s="59">
        <v>0</v>
      </c>
      <c r="F48" s="60">
        <v>0</v>
      </c>
      <c r="G48" s="14">
        <v>0</v>
      </c>
      <c r="H48" s="60">
        <v>0</v>
      </c>
      <c r="I48" s="14">
        <v>0</v>
      </c>
      <c r="J48" s="60">
        <v>0</v>
      </c>
      <c r="K48" s="63" t="s">
        <v>89</v>
      </c>
      <c r="L48" s="62" t="s">
        <v>89</v>
      </c>
      <c r="M48" s="76" t="s">
        <v>89</v>
      </c>
      <c r="N48" s="14">
        <v>1</v>
      </c>
      <c r="O48" s="60">
        <v>0.341</v>
      </c>
      <c r="P48" s="66">
        <f t="shared" si="4"/>
        <v>0.341</v>
      </c>
    </row>
    <row r="49" spans="1:16" ht="12.75" customHeight="1" thickBot="1">
      <c r="A49" s="77" t="s">
        <v>38</v>
      </c>
      <c r="B49" s="58">
        <v>4</v>
      </c>
      <c r="C49" s="58">
        <v>1</v>
      </c>
      <c r="D49" s="51">
        <f t="shared" si="1"/>
        <v>5</v>
      </c>
      <c r="E49" s="59">
        <v>0.096</v>
      </c>
      <c r="F49" s="60">
        <f>150786000/1000000</f>
        <v>150.786</v>
      </c>
      <c r="G49" s="14">
        <v>51</v>
      </c>
      <c r="H49" s="60">
        <v>143.326</v>
      </c>
      <c r="I49" s="14">
        <v>11</v>
      </c>
      <c r="J49" s="60">
        <v>14.583</v>
      </c>
      <c r="K49" s="56">
        <f t="shared" si="2"/>
        <v>0.21568627450980393</v>
      </c>
      <c r="L49" s="57" t="s">
        <v>116</v>
      </c>
      <c r="M49" s="75">
        <f t="shared" si="3"/>
        <v>0.09671322271298397</v>
      </c>
      <c r="N49" s="14">
        <v>14</v>
      </c>
      <c r="O49" s="60">
        <v>0.843</v>
      </c>
      <c r="P49" s="66">
        <f t="shared" si="4"/>
        <v>15.426</v>
      </c>
    </row>
    <row r="50" spans="1:16" ht="12.75" customHeight="1" thickBot="1">
      <c r="A50" s="77" t="s">
        <v>39</v>
      </c>
      <c r="B50" s="58">
        <v>8</v>
      </c>
      <c r="C50" s="58">
        <v>3</v>
      </c>
      <c r="D50" s="51">
        <f t="shared" si="1"/>
        <v>11</v>
      </c>
      <c r="E50" s="59">
        <v>0.287</v>
      </c>
      <c r="F50" s="60">
        <f>575000000/1000000</f>
        <v>575</v>
      </c>
      <c r="G50" s="14">
        <v>64</v>
      </c>
      <c r="H50" s="60">
        <v>31.7</v>
      </c>
      <c r="I50" s="14">
        <v>29</v>
      </c>
      <c r="J50" s="60">
        <v>28.3</v>
      </c>
      <c r="K50" s="56">
        <f t="shared" si="2"/>
        <v>0.453125</v>
      </c>
      <c r="L50" s="57" t="s">
        <v>86</v>
      </c>
      <c r="M50" s="75">
        <f t="shared" si="3"/>
        <v>0.049217391304347824</v>
      </c>
      <c r="N50" s="14">
        <v>4</v>
      </c>
      <c r="O50" s="60">
        <v>0.43</v>
      </c>
      <c r="P50" s="66">
        <f t="shared" si="4"/>
        <v>28.73</v>
      </c>
    </row>
    <row r="51" spans="1:16" ht="12.75" customHeight="1" thickBot="1">
      <c r="A51" s="77" t="s">
        <v>40</v>
      </c>
      <c r="B51" s="58">
        <v>0</v>
      </c>
      <c r="C51" s="58">
        <v>0</v>
      </c>
      <c r="D51" s="51">
        <f t="shared" si="1"/>
        <v>0</v>
      </c>
      <c r="E51" s="59">
        <v>0.081</v>
      </c>
      <c r="F51" s="60">
        <v>0</v>
      </c>
      <c r="G51" s="14">
        <v>0</v>
      </c>
      <c r="H51" s="60">
        <v>0</v>
      </c>
      <c r="I51" s="14">
        <v>0</v>
      </c>
      <c r="J51" s="60">
        <v>0</v>
      </c>
      <c r="K51" s="63" t="s">
        <v>89</v>
      </c>
      <c r="L51" s="62" t="s">
        <v>89</v>
      </c>
      <c r="M51" s="76" t="s">
        <v>89</v>
      </c>
      <c r="N51" s="14">
        <v>0</v>
      </c>
      <c r="O51" s="60">
        <v>0</v>
      </c>
      <c r="P51" s="66">
        <f aca="true" t="shared" si="5" ref="P51:P67">+J51+O51</f>
        <v>0</v>
      </c>
    </row>
    <row r="52" spans="1:16" ht="12.75" customHeight="1" thickBot="1">
      <c r="A52" s="77" t="s">
        <v>41</v>
      </c>
      <c r="B52" s="58">
        <v>0</v>
      </c>
      <c r="C52" s="58">
        <v>3</v>
      </c>
      <c r="D52" s="51">
        <f t="shared" si="1"/>
        <v>3</v>
      </c>
      <c r="E52" s="59">
        <v>0.016</v>
      </c>
      <c r="F52" s="60">
        <f>234000000/1000000</f>
        <v>234</v>
      </c>
      <c r="G52" s="14">
        <v>25</v>
      </c>
      <c r="H52" s="60">
        <v>13.951</v>
      </c>
      <c r="I52" s="14">
        <v>21</v>
      </c>
      <c r="J52" s="60">
        <v>12.333</v>
      </c>
      <c r="K52" s="56">
        <f t="shared" si="2"/>
        <v>0.84</v>
      </c>
      <c r="L52" s="57" t="s">
        <v>117</v>
      </c>
      <c r="M52" s="75">
        <f t="shared" si="3"/>
        <v>0.0527051282051282</v>
      </c>
      <c r="N52" s="14">
        <v>0</v>
      </c>
      <c r="O52" s="60">
        <v>0</v>
      </c>
      <c r="P52" s="66">
        <f t="shared" si="5"/>
        <v>12.333</v>
      </c>
    </row>
    <row r="53" spans="1:16" ht="12.75" customHeight="1" thickBot="1">
      <c r="A53" s="77" t="s">
        <v>42</v>
      </c>
      <c r="B53" s="58">
        <v>1</v>
      </c>
      <c r="C53" s="58">
        <v>5</v>
      </c>
      <c r="D53" s="51">
        <f t="shared" si="1"/>
        <v>6</v>
      </c>
      <c r="E53" s="59">
        <v>0.21</v>
      </c>
      <c r="F53" s="60">
        <f>2584055000/1000000</f>
        <v>2584.055</v>
      </c>
      <c r="G53" s="14">
        <v>50</v>
      </c>
      <c r="H53" s="60">
        <v>106.137</v>
      </c>
      <c r="I53" s="14">
        <v>18</v>
      </c>
      <c r="J53" s="60">
        <v>64.052</v>
      </c>
      <c r="K53" s="56">
        <f t="shared" si="2"/>
        <v>0.36</v>
      </c>
      <c r="L53" s="57" t="s">
        <v>118</v>
      </c>
      <c r="M53" s="75">
        <f t="shared" si="3"/>
        <v>0.024787398101046614</v>
      </c>
      <c r="N53" s="14">
        <v>0</v>
      </c>
      <c r="O53" s="60">
        <v>0</v>
      </c>
      <c r="P53" s="66">
        <f t="shared" si="5"/>
        <v>64.052</v>
      </c>
    </row>
    <row r="54" spans="1:16" ht="12.75" customHeight="1" thickBot="1">
      <c r="A54" s="77" t="s">
        <v>43</v>
      </c>
      <c r="B54" s="58">
        <v>0</v>
      </c>
      <c r="C54" s="58">
        <v>0</v>
      </c>
      <c r="D54" s="51">
        <f t="shared" si="1"/>
        <v>0</v>
      </c>
      <c r="E54" s="59">
        <v>0</v>
      </c>
      <c r="F54" s="60">
        <v>0</v>
      </c>
      <c r="G54" s="14">
        <v>0</v>
      </c>
      <c r="H54" s="60">
        <v>0</v>
      </c>
      <c r="I54" s="14">
        <v>0</v>
      </c>
      <c r="J54" s="60">
        <v>0</v>
      </c>
      <c r="K54" s="63" t="s">
        <v>89</v>
      </c>
      <c r="L54" s="62" t="s">
        <v>89</v>
      </c>
      <c r="M54" s="76" t="s">
        <v>89</v>
      </c>
      <c r="N54" s="14">
        <v>3</v>
      </c>
      <c r="O54" s="60">
        <v>0.22</v>
      </c>
      <c r="P54" s="66">
        <f t="shared" si="5"/>
        <v>0.22</v>
      </c>
    </row>
    <row r="55" spans="1:16" ht="12.75" customHeight="1" thickBot="1">
      <c r="A55" s="77" t="s">
        <v>44</v>
      </c>
      <c r="B55" s="58">
        <v>9</v>
      </c>
      <c r="C55" s="58">
        <v>0</v>
      </c>
      <c r="D55" s="51">
        <f t="shared" si="1"/>
        <v>9</v>
      </c>
      <c r="E55" s="59">
        <v>0.063</v>
      </c>
      <c r="F55" s="60">
        <f>276370000/1000000</f>
        <v>276.37</v>
      </c>
      <c r="G55" s="14">
        <v>12</v>
      </c>
      <c r="H55" s="60">
        <v>4.922</v>
      </c>
      <c r="I55" s="14">
        <v>3</v>
      </c>
      <c r="J55" s="60">
        <v>0.747</v>
      </c>
      <c r="K55" s="56">
        <f t="shared" si="2"/>
        <v>0.25</v>
      </c>
      <c r="L55" s="57" t="s">
        <v>83</v>
      </c>
      <c r="M55" s="75">
        <f t="shared" si="3"/>
        <v>0.002702898288526251</v>
      </c>
      <c r="N55" s="14">
        <v>8</v>
      </c>
      <c r="O55" s="60">
        <v>0.541</v>
      </c>
      <c r="P55" s="66">
        <f t="shared" si="5"/>
        <v>1.288</v>
      </c>
    </row>
    <row r="56" spans="1:16" ht="12.75" customHeight="1" thickBot="1">
      <c r="A56" s="77" t="s">
        <v>45</v>
      </c>
      <c r="B56" s="58">
        <v>7</v>
      </c>
      <c r="C56" s="58">
        <v>1</v>
      </c>
      <c r="D56" s="51">
        <f t="shared" si="1"/>
        <v>8</v>
      </c>
      <c r="E56" s="59">
        <v>0.132</v>
      </c>
      <c r="F56" s="60">
        <f>702099004/1000000</f>
        <v>702.099004</v>
      </c>
      <c r="G56" s="14">
        <v>39</v>
      </c>
      <c r="H56" s="60">
        <v>68.999</v>
      </c>
      <c r="I56" s="14">
        <v>17</v>
      </c>
      <c r="J56" s="60">
        <v>2.974</v>
      </c>
      <c r="K56" s="56">
        <f t="shared" si="2"/>
        <v>0.4358974358974359</v>
      </c>
      <c r="L56" s="57" t="s">
        <v>104</v>
      </c>
      <c r="M56" s="75">
        <f t="shared" si="3"/>
        <v>0.004235869846070882</v>
      </c>
      <c r="N56" s="14">
        <v>0</v>
      </c>
      <c r="O56" s="60">
        <v>0</v>
      </c>
      <c r="P56" s="66">
        <f t="shared" si="5"/>
        <v>2.974</v>
      </c>
    </row>
    <row r="57" spans="1:16" ht="12.75" customHeight="1" thickBot="1">
      <c r="A57" s="77" t="s">
        <v>46</v>
      </c>
      <c r="B57" s="58">
        <v>0</v>
      </c>
      <c r="C57" s="58">
        <v>1</v>
      </c>
      <c r="D57" s="51">
        <f t="shared" si="1"/>
        <v>1</v>
      </c>
      <c r="E57" s="59">
        <v>0.209</v>
      </c>
      <c r="F57" s="60">
        <f>244145804/1000000</f>
        <v>244.145804</v>
      </c>
      <c r="G57" s="14">
        <v>58</v>
      </c>
      <c r="H57" s="60">
        <v>26.99</v>
      </c>
      <c r="I57" s="14">
        <v>26</v>
      </c>
      <c r="J57" s="60">
        <v>24.786</v>
      </c>
      <c r="K57" s="56">
        <f t="shared" si="2"/>
        <v>0.4482758620689655</v>
      </c>
      <c r="L57" s="57" t="s">
        <v>119</v>
      </c>
      <c r="M57" s="75">
        <f t="shared" si="3"/>
        <v>0.10152130240993207</v>
      </c>
      <c r="N57" s="14">
        <v>11</v>
      </c>
      <c r="O57" s="60">
        <v>2.23</v>
      </c>
      <c r="P57" s="66">
        <f t="shared" si="5"/>
        <v>27.016000000000002</v>
      </c>
    </row>
    <row r="58" spans="1:16" ht="12.75" customHeight="1" thickBot="1">
      <c r="A58" s="77" t="s">
        <v>47</v>
      </c>
      <c r="B58" s="58">
        <v>0</v>
      </c>
      <c r="C58" s="58">
        <v>0</v>
      </c>
      <c r="D58" s="51">
        <f t="shared" si="1"/>
        <v>0</v>
      </c>
      <c r="E58" s="59">
        <v>0</v>
      </c>
      <c r="F58" s="60">
        <v>0</v>
      </c>
      <c r="G58" s="14">
        <v>0</v>
      </c>
      <c r="H58" s="60">
        <v>0</v>
      </c>
      <c r="I58" s="14">
        <v>0</v>
      </c>
      <c r="J58" s="60">
        <v>0</v>
      </c>
      <c r="K58" s="63" t="s">
        <v>89</v>
      </c>
      <c r="L58" s="62" t="s">
        <v>89</v>
      </c>
      <c r="M58" s="76" t="s">
        <v>89</v>
      </c>
      <c r="N58" s="14">
        <v>2</v>
      </c>
      <c r="O58" s="60">
        <v>0.247</v>
      </c>
      <c r="P58" s="66">
        <f t="shared" si="5"/>
        <v>0.247</v>
      </c>
    </row>
    <row r="59" spans="1:16" ht="12.75" customHeight="1" thickBot="1">
      <c r="A59" s="77" t="s">
        <v>48</v>
      </c>
      <c r="B59" s="58">
        <v>30</v>
      </c>
      <c r="C59" s="58">
        <v>0</v>
      </c>
      <c r="D59" s="51">
        <f t="shared" si="1"/>
        <v>30</v>
      </c>
      <c r="E59" s="59">
        <v>0.181</v>
      </c>
      <c r="F59" s="60">
        <f>300000000/1000000</f>
        <v>300</v>
      </c>
      <c r="G59" s="14">
        <v>66</v>
      </c>
      <c r="H59" s="60">
        <v>19.3</v>
      </c>
      <c r="I59" s="14">
        <v>47</v>
      </c>
      <c r="J59" s="60">
        <v>17.6</v>
      </c>
      <c r="K59" s="56">
        <f t="shared" si="2"/>
        <v>0.7121212121212122</v>
      </c>
      <c r="L59" s="57" t="s">
        <v>120</v>
      </c>
      <c r="M59" s="75">
        <f t="shared" si="3"/>
        <v>0.05866666666666667</v>
      </c>
      <c r="N59" s="14">
        <v>0</v>
      </c>
      <c r="O59" s="60">
        <v>0</v>
      </c>
      <c r="P59" s="66">
        <f t="shared" si="5"/>
        <v>17.6</v>
      </c>
    </row>
    <row r="60" spans="1:16" ht="12.75" customHeight="1" thickBot="1">
      <c r="A60" s="77" t="s">
        <v>49</v>
      </c>
      <c r="B60" s="58">
        <v>11</v>
      </c>
      <c r="C60" s="58">
        <v>4</v>
      </c>
      <c r="D60" s="51">
        <f t="shared" si="1"/>
        <v>15</v>
      </c>
      <c r="E60" s="59">
        <v>0.429</v>
      </c>
      <c r="F60" s="60">
        <f>1722382000/1000000</f>
        <v>1722.382</v>
      </c>
      <c r="G60" s="14">
        <v>87</v>
      </c>
      <c r="H60" s="60">
        <v>424.344</v>
      </c>
      <c r="I60" s="14">
        <v>57</v>
      </c>
      <c r="J60" s="60">
        <v>161.63</v>
      </c>
      <c r="K60" s="56">
        <f t="shared" si="2"/>
        <v>0.6551724137931034</v>
      </c>
      <c r="L60" s="57" t="s">
        <v>121</v>
      </c>
      <c r="M60" s="75">
        <f t="shared" si="3"/>
        <v>0.0938409713989115</v>
      </c>
      <c r="N60" s="14">
        <v>18</v>
      </c>
      <c r="O60" s="60">
        <v>2.507</v>
      </c>
      <c r="P60" s="66">
        <f t="shared" si="5"/>
        <v>164.137</v>
      </c>
    </row>
    <row r="61" spans="1:16" ht="12.75" customHeight="1" thickBot="1">
      <c r="A61" s="77" t="s">
        <v>50</v>
      </c>
      <c r="B61" s="58">
        <v>0</v>
      </c>
      <c r="C61" s="58">
        <v>0</v>
      </c>
      <c r="D61" s="51">
        <f t="shared" si="1"/>
        <v>0</v>
      </c>
      <c r="E61" s="59">
        <v>0</v>
      </c>
      <c r="F61" s="60">
        <v>0</v>
      </c>
      <c r="G61" s="14">
        <v>0</v>
      </c>
      <c r="H61" s="60">
        <v>0</v>
      </c>
      <c r="I61" s="14">
        <v>0</v>
      </c>
      <c r="J61" s="60">
        <v>0</v>
      </c>
      <c r="K61" s="63" t="s">
        <v>89</v>
      </c>
      <c r="L61" s="62" t="s">
        <v>89</v>
      </c>
      <c r="M61" s="76" t="s">
        <v>89</v>
      </c>
      <c r="N61" s="14">
        <v>10</v>
      </c>
      <c r="O61" s="60">
        <v>0.949</v>
      </c>
      <c r="P61" s="66">
        <f t="shared" si="5"/>
        <v>0.949</v>
      </c>
    </row>
    <row r="62" spans="1:16" ht="12.75" customHeight="1" thickBot="1">
      <c r="A62" s="77" t="s">
        <v>51</v>
      </c>
      <c r="B62" s="58">
        <v>0</v>
      </c>
      <c r="C62" s="58">
        <v>6</v>
      </c>
      <c r="D62" s="51">
        <f t="shared" si="1"/>
        <v>6</v>
      </c>
      <c r="E62" s="59">
        <v>0.357</v>
      </c>
      <c r="F62" s="60">
        <f>187500000/1000000</f>
        <v>187.5</v>
      </c>
      <c r="G62" s="14">
        <v>29</v>
      </c>
      <c r="H62" s="60">
        <v>6.016</v>
      </c>
      <c r="I62" s="14">
        <v>17</v>
      </c>
      <c r="J62" s="60">
        <v>0.681</v>
      </c>
      <c r="K62" s="56">
        <f t="shared" si="2"/>
        <v>0.5862068965517241</v>
      </c>
      <c r="L62" s="57" t="s">
        <v>122</v>
      </c>
      <c r="M62" s="75">
        <f t="shared" si="3"/>
        <v>0.0036320000000000002</v>
      </c>
      <c r="N62" s="14">
        <v>18</v>
      </c>
      <c r="O62" s="60">
        <v>1.681</v>
      </c>
      <c r="P62" s="66">
        <f t="shared" si="5"/>
        <v>2.362</v>
      </c>
    </row>
    <row r="63" spans="1:16" ht="12.75" customHeight="1" thickBot="1">
      <c r="A63" s="77" t="s">
        <v>52</v>
      </c>
      <c r="B63" s="58">
        <v>6</v>
      </c>
      <c r="C63" s="58">
        <v>0</v>
      </c>
      <c r="D63" s="51">
        <f t="shared" si="1"/>
        <v>6</v>
      </c>
      <c r="E63" s="59">
        <v>0.082</v>
      </c>
      <c r="F63" s="60">
        <f>125200000/1000000</f>
        <v>125.2</v>
      </c>
      <c r="G63" s="14">
        <v>41</v>
      </c>
      <c r="H63" s="60">
        <v>13.45</v>
      </c>
      <c r="I63" s="14">
        <v>17</v>
      </c>
      <c r="J63" s="60">
        <v>3.69</v>
      </c>
      <c r="K63" s="56">
        <f t="shared" si="2"/>
        <v>0.4146341463414634</v>
      </c>
      <c r="L63" s="57" t="s">
        <v>123</v>
      </c>
      <c r="M63" s="75">
        <f t="shared" si="3"/>
        <v>0.029472843450479232</v>
      </c>
      <c r="N63" s="14">
        <v>1</v>
      </c>
      <c r="O63" s="60">
        <v>0</v>
      </c>
      <c r="P63" s="66">
        <f t="shared" si="5"/>
        <v>3.69</v>
      </c>
    </row>
    <row r="64" spans="1:16" ht="18.75" customHeight="1" thickBot="1">
      <c r="A64" s="77" t="s">
        <v>53</v>
      </c>
      <c r="B64" s="64">
        <v>1</v>
      </c>
      <c r="C64" s="64">
        <v>0</v>
      </c>
      <c r="D64" s="65">
        <f t="shared" si="1"/>
        <v>1</v>
      </c>
      <c r="E64" s="68">
        <v>0.084</v>
      </c>
      <c r="F64" s="68">
        <v>30.2</v>
      </c>
      <c r="G64" s="69">
        <v>142</v>
      </c>
      <c r="H64" s="66">
        <v>13.5</v>
      </c>
      <c r="I64" s="51">
        <v>16</v>
      </c>
      <c r="J64" s="66">
        <v>9.1</v>
      </c>
      <c r="K64" s="56">
        <f t="shared" si="2"/>
        <v>0.11267605633802817</v>
      </c>
      <c r="L64" s="72" t="s">
        <v>124</v>
      </c>
      <c r="M64" s="75">
        <f t="shared" si="3"/>
        <v>0.30132450331125826</v>
      </c>
      <c r="N64" s="51">
        <v>1</v>
      </c>
      <c r="O64" s="66">
        <v>0</v>
      </c>
      <c r="P64" s="66">
        <f t="shared" si="5"/>
        <v>9.1</v>
      </c>
    </row>
    <row r="65" spans="1:16" ht="19.5" customHeight="1" thickBot="1">
      <c r="A65" s="77" t="s">
        <v>54</v>
      </c>
      <c r="B65" s="64">
        <v>0</v>
      </c>
      <c r="C65" s="64">
        <v>0</v>
      </c>
      <c r="D65" s="64">
        <v>0</v>
      </c>
      <c r="E65" s="68">
        <v>0</v>
      </c>
      <c r="F65" s="68">
        <v>0</v>
      </c>
      <c r="G65" s="69">
        <v>0</v>
      </c>
      <c r="H65" s="66">
        <v>0</v>
      </c>
      <c r="I65" s="51">
        <v>0</v>
      </c>
      <c r="J65" s="66">
        <v>0</v>
      </c>
      <c r="K65" s="63" t="s">
        <v>89</v>
      </c>
      <c r="L65" s="63" t="s">
        <v>89</v>
      </c>
      <c r="M65" s="74" t="s">
        <v>89</v>
      </c>
      <c r="N65" s="51">
        <v>2</v>
      </c>
      <c r="O65" s="66">
        <v>0.516</v>
      </c>
      <c r="P65" s="66">
        <f t="shared" si="5"/>
        <v>0.516</v>
      </c>
    </row>
    <row r="66" spans="1:16" ht="18" customHeight="1" thickBot="1">
      <c r="A66" s="77" t="s">
        <v>55</v>
      </c>
      <c r="B66" s="65">
        <v>0</v>
      </c>
      <c r="C66" s="65">
        <v>0</v>
      </c>
      <c r="D66" s="65">
        <v>0</v>
      </c>
      <c r="E66" s="68">
        <v>0</v>
      </c>
      <c r="F66" s="68">
        <v>0</v>
      </c>
      <c r="G66" s="69">
        <v>0</v>
      </c>
      <c r="H66" s="66">
        <v>0</v>
      </c>
      <c r="I66" s="51">
        <v>0</v>
      </c>
      <c r="J66" s="66">
        <v>0</v>
      </c>
      <c r="K66" s="63" t="s">
        <v>89</v>
      </c>
      <c r="L66" s="63" t="s">
        <v>89</v>
      </c>
      <c r="M66" s="74" t="s">
        <v>89</v>
      </c>
      <c r="N66" s="51">
        <v>0</v>
      </c>
      <c r="O66" s="66">
        <v>0</v>
      </c>
      <c r="P66" s="66">
        <f t="shared" si="5"/>
        <v>0</v>
      </c>
    </row>
    <row r="67" spans="1:16" s="5" customFormat="1" ht="12.75" customHeight="1" thickBot="1">
      <c r="A67" s="44" t="s">
        <v>63</v>
      </c>
      <c r="B67" s="45">
        <f aca="true" t="shared" si="6" ref="B67:G67">SUM(B12:B66)</f>
        <v>182</v>
      </c>
      <c r="C67" s="45">
        <f t="shared" si="6"/>
        <v>245</v>
      </c>
      <c r="D67" s="45">
        <f t="shared" si="6"/>
        <v>427</v>
      </c>
      <c r="E67" s="46">
        <f t="shared" si="6"/>
        <v>17.087300000000003</v>
      </c>
      <c r="F67" s="47">
        <f t="shared" si="6"/>
        <v>29159.999001000007</v>
      </c>
      <c r="G67" s="48">
        <f t="shared" si="6"/>
        <v>3297</v>
      </c>
      <c r="H67" s="49">
        <f>SUM(H2:H66)</f>
        <v>4157.156999999999</v>
      </c>
      <c r="I67" s="71">
        <f>SUM(I12:I66)</f>
        <v>1460</v>
      </c>
      <c r="J67" s="70">
        <f>SUM(J2:J66)</f>
        <v>1702.3099999999995</v>
      </c>
      <c r="K67" s="78">
        <f>+I67/G67</f>
        <v>0.44282681225356385</v>
      </c>
      <c r="L67" s="80" t="s">
        <v>86</v>
      </c>
      <c r="M67" s="79">
        <f>+J67/F67</f>
        <v>0.05837825988751306</v>
      </c>
      <c r="N67" s="73">
        <f>SUM(N12:N66)</f>
        <v>330</v>
      </c>
      <c r="O67" s="50">
        <f>SUM(O2:O66)</f>
        <v>45.338999999999984</v>
      </c>
      <c r="P67" s="70">
        <f t="shared" si="5"/>
        <v>1747.6489999999994</v>
      </c>
    </row>
    <row r="68" ht="12.75">
      <c r="L68" s="10"/>
    </row>
  </sheetData>
  <sheetProtection/>
  <mergeCells count="13">
    <mergeCell ref="P10:P11"/>
    <mergeCell ref="O10:O11"/>
    <mergeCell ref="L10:L11"/>
    <mergeCell ref="M10:M11"/>
    <mergeCell ref="J10:J11"/>
    <mergeCell ref="K10:K11"/>
    <mergeCell ref="N10:N11"/>
    <mergeCell ref="I10:I11"/>
    <mergeCell ref="A10:A11"/>
    <mergeCell ref="B10:D10"/>
    <mergeCell ref="F10:F11"/>
    <mergeCell ref="G10:G11"/>
    <mergeCell ref="H10:H11"/>
  </mergeCells>
  <printOptions/>
  <pageMargins left="1.59" right="0.63" top="0.18" bottom="0.25" header="0.24" footer="0.31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J57"/>
  <sheetViews>
    <sheetView zoomScalePageLayoutView="0" workbookViewId="0" topLeftCell="A34">
      <selection activeCell="E57" sqref="E57"/>
    </sheetView>
  </sheetViews>
  <sheetFormatPr defaultColWidth="9.140625" defaultRowHeight="12.75"/>
  <cols>
    <col min="13" max="13" width="9.140625" style="0" customWidth="1"/>
  </cols>
  <sheetData>
    <row r="1" spans="4:5" ht="13.5" thickBot="1">
      <c r="D1" s="57" t="s">
        <v>90</v>
      </c>
      <c r="E1">
        <v>214</v>
      </c>
    </row>
    <row r="2" spans="4:5" ht="13.5" thickBot="1">
      <c r="D2" s="57" t="s">
        <v>92</v>
      </c>
      <c r="E2">
        <v>130</v>
      </c>
    </row>
    <row r="3" spans="4:5" ht="13.5" thickBot="1">
      <c r="D3" s="57" t="s">
        <v>91</v>
      </c>
      <c r="E3">
        <v>155</v>
      </c>
    </row>
    <row r="4" spans="4:5" ht="13.5" thickBot="1">
      <c r="D4" s="57" t="s">
        <v>93</v>
      </c>
      <c r="E4">
        <v>241</v>
      </c>
    </row>
    <row r="5" spans="4:5" ht="13.5" thickBot="1">
      <c r="D5" s="57" t="s">
        <v>94</v>
      </c>
      <c r="E5">
        <v>80</v>
      </c>
    </row>
    <row r="6" spans="4:5" ht="13.5" thickBot="1">
      <c r="D6" s="57" t="s">
        <v>81</v>
      </c>
      <c r="E6">
        <v>13</v>
      </c>
    </row>
    <row r="7" ht="13.5" thickBot="1">
      <c r="D7" s="62" t="s">
        <v>89</v>
      </c>
    </row>
    <row r="8" spans="4:5" ht="13.5" thickBot="1">
      <c r="D8" s="57" t="s">
        <v>95</v>
      </c>
      <c r="E8">
        <v>229</v>
      </c>
    </row>
    <row r="9" spans="4:5" ht="13.5" thickBot="1">
      <c r="D9" s="57" t="s">
        <v>82</v>
      </c>
      <c r="E9">
        <v>27</v>
      </c>
    </row>
    <row r="10" spans="4:5" ht="13.5" thickBot="1">
      <c r="D10" s="57" t="s">
        <v>96</v>
      </c>
      <c r="E10">
        <v>219</v>
      </c>
    </row>
    <row r="11" spans="4:5" ht="13.5" thickBot="1">
      <c r="D11" s="57" t="s">
        <v>97</v>
      </c>
      <c r="E11">
        <v>71</v>
      </c>
    </row>
    <row r="12" spans="4:5" ht="13.5" thickBot="1">
      <c r="D12" s="57" t="s">
        <v>98</v>
      </c>
      <c r="E12">
        <v>164</v>
      </c>
    </row>
    <row r="13" ht="13.5" thickBot="1">
      <c r="D13" s="62" t="s">
        <v>89</v>
      </c>
    </row>
    <row r="14" spans="4:5" ht="13.5" thickBot="1">
      <c r="D14" s="57" t="s">
        <v>99</v>
      </c>
      <c r="E14">
        <v>170</v>
      </c>
    </row>
    <row r="15" spans="4:10" ht="13.5" thickBot="1">
      <c r="D15" s="57" t="s">
        <v>100</v>
      </c>
      <c r="E15">
        <v>89</v>
      </c>
      <c r="H15">
        <v>116</v>
      </c>
      <c r="J15">
        <v>29</v>
      </c>
    </row>
    <row r="16" spans="4:10" ht="13.5" thickBot="1">
      <c r="D16" s="57" t="s">
        <v>101</v>
      </c>
      <c r="E16">
        <v>260</v>
      </c>
      <c r="H16">
        <v>132</v>
      </c>
      <c r="J16">
        <v>47</v>
      </c>
    </row>
    <row r="17" spans="4:10" ht="13.5" thickBot="1">
      <c r="D17" s="57" t="s">
        <v>102</v>
      </c>
      <c r="H17">
        <v>146</v>
      </c>
      <c r="J17">
        <v>40</v>
      </c>
    </row>
    <row r="18" spans="4:10" ht="13.5" thickBot="1">
      <c r="D18" s="57" t="s">
        <v>103</v>
      </c>
      <c r="E18">
        <v>187</v>
      </c>
      <c r="H18">
        <v>325</v>
      </c>
      <c r="J18">
        <v>8</v>
      </c>
    </row>
    <row r="19" spans="4:10" ht="13.5" thickBot="1">
      <c r="D19" s="57" t="s">
        <v>104</v>
      </c>
      <c r="E19">
        <v>23</v>
      </c>
      <c r="H19">
        <v>219</v>
      </c>
      <c r="J19">
        <v>10</v>
      </c>
    </row>
    <row r="20" spans="4:10" ht="13.5" thickBot="1">
      <c r="D20" s="57" t="s">
        <v>105</v>
      </c>
      <c r="E20">
        <v>800</v>
      </c>
      <c r="H20">
        <v>159</v>
      </c>
      <c r="J20">
        <v>108</v>
      </c>
    </row>
    <row r="21" spans="4:8" ht="13.5" thickBot="1">
      <c r="D21" s="62" t="s">
        <v>106</v>
      </c>
      <c r="E21">
        <v>1</v>
      </c>
      <c r="H21">
        <v>205</v>
      </c>
    </row>
    <row r="22" spans="4:8" ht="13.5" thickBot="1">
      <c r="D22" s="57" t="s">
        <v>107</v>
      </c>
      <c r="E22">
        <v>37</v>
      </c>
      <c r="H22">
        <v>169</v>
      </c>
    </row>
    <row r="23" spans="4:5" ht="13.5" thickBot="1">
      <c r="D23" s="57" t="s">
        <v>85</v>
      </c>
      <c r="E23">
        <v>22</v>
      </c>
    </row>
    <row r="24" spans="4:10" ht="13.5" thickBot="1">
      <c r="D24" s="57" t="s">
        <v>99</v>
      </c>
      <c r="E24">
        <v>170</v>
      </c>
      <c r="H24">
        <f>AVERAGE(H15:H22)</f>
        <v>183.875</v>
      </c>
      <c r="J24">
        <f>AVERAGE(J15:J22)</f>
        <v>40.333333333333336</v>
      </c>
    </row>
    <row r="25" spans="4:5" ht="13.5" thickBot="1">
      <c r="D25" s="57" t="s">
        <v>108</v>
      </c>
      <c r="E25">
        <v>35</v>
      </c>
    </row>
    <row r="26" spans="4:5" ht="13.5" thickBot="1">
      <c r="D26" s="57" t="s">
        <v>109</v>
      </c>
      <c r="E26">
        <v>230</v>
      </c>
    </row>
    <row r="27" spans="4:5" ht="13.5" thickBot="1">
      <c r="D27" s="57" t="s">
        <v>110</v>
      </c>
      <c r="E27">
        <v>184</v>
      </c>
    </row>
    <row r="28" spans="4:5" ht="13.5" thickBot="1">
      <c r="D28" s="57" t="s">
        <v>80</v>
      </c>
      <c r="E28">
        <v>7</v>
      </c>
    </row>
    <row r="29" spans="4:5" ht="13.5" thickBot="1">
      <c r="D29" s="57" t="s">
        <v>111</v>
      </c>
      <c r="E29">
        <v>315</v>
      </c>
    </row>
    <row r="30" spans="4:5" ht="13.5" thickBot="1">
      <c r="D30" s="57" t="s">
        <v>112</v>
      </c>
      <c r="E30">
        <v>67</v>
      </c>
    </row>
    <row r="31" spans="4:5" ht="13.5" thickBot="1">
      <c r="D31" s="57" t="s">
        <v>113</v>
      </c>
      <c r="E31">
        <v>901</v>
      </c>
    </row>
    <row r="32" spans="4:5" ht="13.5" thickBot="1">
      <c r="D32" s="57" t="s">
        <v>84</v>
      </c>
      <c r="E32">
        <v>56</v>
      </c>
    </row>
    <row r="33" spans="4:5" ht="13.5" thickBot="1">
      <c r="D33" s="57" t="s">
        <v>114</v>
      </c>
      <c r="E33">
        <v>33</v>
      </c>
    </row>
    <row r="34" spans="4:5" ht="13.5" thickBot="1">
      <c r="D34" s="57" t="s">
        <v>85</v>
      </c>
      <c r="E34">
        <v>22</v>
      </c>
    </row>
    <row r="35" ht="13.5" thickBot="1">
      <c r="D35" s="62" t="s">
        <v>89</v>
      </c>
    </row>
    <row r="36" spans="4:5" ht="13.5" thickBot="1">
      <c r="D36" s="57" t="s">
        <v>115</v>
      </c>
      <c r="E36">
        <v>176</v>
      </c>
    </row>
    <row r="37" ht="13.5" thickBot="1">
      <c r="D37" s="62" t="s">
        <v>89</v>
      </c>
    </row>
    <row r="38" spans="4:5" ht="13.5" thickBot="1">
      <c r="D38" s="57" t="s">
        <v>116</v>
      </c>
      <c r="E38">
        <v>152</v>
      </c>
    </row>
    <row r="39" spans="4:5" ht="13.5" thickBot="1">
      <c r="D39" s="57" t="s">
        <v>86</v>
      </c>
      <c r="E39">
        <v>99</v>
      </c>
    </row>
    <row r="40" ht="13.5" thickBot="1">
      <c r="D40" s="62" t="s">
        <v>89</v>
      </c>
    </row>
    <row r="41" spans="4:5" ht="13.5" thickBot="1">
      <c r="D41" s="57" t="s">
        <v>117</v>
      </c>
      <c r="E41">
        <v>771</v>
      </c>
    </row>
    <row r="42" spans="4:5" ht="13.5" thickBot="1">
      <c r="D42" s="57" t="s">
        <v>118</v>
      </c>
      <c r="E42">
        <v>305</v>
      </c>
    </row>
    <row r="43" ht="13.5" thickBot="1">
      <c r="D43" s="62" t="s">
        <v>89</v>
      </c>
    </row>
    <row r="44" spans="4:5" ht="13.5" thickBot="1">
      <c r="D44" s="57" t="s">
        <v>83</v>
      </c>
      <c r="E44">
        <v>12</v>
      </c>
    </row>
    <row r="45" spans="4:5" ht="13.5" thickBot="1">
      <c r="D45" s="57" t="s">
        <v>104</v>
      </c>
      <c r="E45">
        <v>23</v>
      </c>
    </row>
    <row r="46" spans="4:5" ht="13.5" thickBot="1">
      <c r="D46" s="57" t="s">
        <v>119</v>
      </c>
      <c r="E46">
        <v>119</v>
      </c>
    </row>
    <row r="47" ht="13.5" thickBot="1">
      <c r="D47" s="62" t="s">
        <v>89</v>
      </c>
    </row>
    <row r="48" spans="4:5" ht="13.5" thickBot="1">
      <c r="D48" s="57" t="s">
        <v>120</v>
      </c>
      <c r="E48">
        <v>97</v>
      </c>
    </row>
    <row r="49" spans="4:5" ht="13.5" thickBot="1">
      <c r="D49" s="57" t="s">
        <v>121</v>
      </c>
      <c r="E49">
        <v>377</v>
      </c>
    </row>
    <row r="50" ht="13.5" thickBot="1">
      <c r="D50" s="62" t="s">
        <v>89</v>
      </c>
    </row>
    <row r="51" spans="4:5" ht="13.5" thickBot="1">
      <c r="D51" s="57" t="s">
        <v>122</v>
      </c>
      <c r="E51">
        <v>2</v>
      </c>
    </row>
    <row r="52" spans="4:5" ht="13.5" thickBot="1">
      <c r="D52" s="57" t="s">
        <v>123</v>
      </c>
      <c r="E52">
        <v>45</v>
      </c>
    </row>
    <row r="53" spans="4:5" ht="13.5" thickBot="1">
      <c r="D53" s="72" t="s">
        <v>124</v>
      </c>
      <c r="E53">
        <v>108</v>
      </c>
    </row>
    <row r="54" ht="13.5" thickBot="1">
      <c r="D54" s="63" t="s">
        <v>89</v>
      </c>
    </row>
    <row r="55" ht="13.5" thickBot="1">
      <c r="D55" s="63" t="s">
        <v>89</v>
      </c>
    </row>
    <row r="57" ht="12.75">
      <c r="E57">
        <f>AVERAGE(E1:E53)</f>
        <v>169.04545454545453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michelle.cribbs</cp:lastModifiedBy>
  <cp:lastPrinted>2010-07-22T18:47:19Z</cp:lastPrinted>
  <dcterms:created xsi:type="dcterms:W3CDTF">2008-06-06T12:59:25Z</dcterms:created>
  <dcterms:modified xsi:type="dcterms:W3CDTF">2010-09-01T19:25:33Z</dcterms:modified>
  <cp:category/>
  <cp:version/>
  <cp:contentType/>
  <cp:contentStatus/>
</cp:coreProperties>
</file>