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drawings/drawing1.xml" ContentType="application/vnd.openxmlformats-officedocument.drawing+xml"/>
  <Override PartName="/xl/tables/table5.xml" ContentType="application/vnd.openxmlformats-officedocument.spreadsheetml.table+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drawings/drawing2.xml" ContentType="application/vnd.openxmlformats-officedocument.drawing+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drawings/drawing3.xml" ContentType="application/vnd.openxmlformats-officedocument.drawing+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drawings/drawing4.xml" ContentType="application/vnd.openxmlformats-officedocument.drawing+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drawings/drawing5.xml" ContentType="application/vnd.openxmlformats-officedocument.drawing+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drawings/drawing6.xml" ContentType="application/vnd.openxmlformats-officedocument.drawing+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drawings/drawing7.xml" ContentType="application/vnd.openxmlformats-officedocument.drawing+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drawings/drawing8.xml" ContentType="application/vnd.openxmlformats-officedocument.drawing+xml"/>
  <Override PartName="/xl/tables/table48.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5" rupBuild="17329"/>
  <workbookPr defaultThemeVersion="124226"/>
  <mc:AlternateContent xmlns:mc="http://schemas.openxmlformats.org/markup-compatibility/2006">
    <mc:Choice Requires="x15">
      <x15ac:absPath xmlns:x15ac="http://schemas.microsoft.com/office/spreadsheetml/2010/11/ac" url="C:\Users\Michelle.Cribbs\Documents\wwwroot\construction\econstruction\"/>
    </mc:Choice>
  </mc:AlternateContent>
  <bookViews>
    <workbookView xWindow="360" yWindow="870" windowWidth="14730" windowHeight="4440" tabRatio="730" firstSheet="5" activeTab="5"/>
  </bookViews>
  <sheets>
    <sheet name="Detailed Costs - for Screenshot" sheetId="4" state="hidden" r:id="rId1"/>
    <sheet name="How-to-Use-Template 1" sheetId="64" r:id="rId2"/>
    <sheet name="How-to-Use-Template 2" sheetId="68" r:id="rId3"/>
    <sheet name="How-to-Use-Template 3" sheetId="69" r:id="rId4"/>
    <sheet name="Annual Construction Program" sheetId="48" r:id="rId5"/>
    <sheet name="Dashboard" sheetId="46" r:id="rId6"/>
    <sheet name="Bidding - Inputs 1" sheetId="6" r:id="rId7"/>
    <sheet name="Bidding - Inputs 2" sheetId="65" r:id="rId8"/>
    <sheet name="Bidding - Inputs 3" sheetId="66" r:id="rId9"/>
    <sheet name="Bidding - Inputs 4" sheetId="67" r:id="rId10"/>
    <sheet name="Bidding - BCA" sheetId="5" r:id="rId11"/>
    <sheet name="Bidding - Timeline" sheetId="20" r:id="rId12"/>
    <sheet name="PS&amp;E - Inputs 1" sheetId="40" r:id="rId13"/>
    <sheet name="PS&amp;E - Inputs 2" sheetId="70" r:id="rId14"/>
    <sheet name="PS&amp;E - Inputs 3" sheetId="71" r:id="rId15"/>
    <sheet name="PS&amp;E - Inputs 4" sheetId="72" r:id="rId16"/>
    <sheet name="PS&amp;E - BCA" sheetId="41" r:id="rId17"/>
    <sheet name="PS&amp;E - Timeline" sheetId="42" r:id="rId18"/>
    <sheet name="Dig Review - Inputs 1" sheetId="49" r:id="rId19"/>
    <sheet name="Dig Review - Inputs 2" sheetId="73" r:id="rId20"/>
    <sheet name="Dig Review - Inputs 3" sheetId="74" r:id="rId21"/>
    <sheet name="Dig Review - Inputs 4" sheetId="75" r:id="rId22"/>
    <sheet name="Dig Review - BCA" sheetId="50" r:id="rId23"/>
    <sheet name="Dig Review - Timeline" sheetId="51" r:id="rId24"/>
    <sheet name="PCM - Inputs 1" sheetId="52" r:id="rId25"/>
    <sheet name="PCM - Inputs 2" sheetId="76" r:id="rId26"/>
    <sheet name="PCM - Inputs 3" sheetId="77" r:id="rId27"/>
    <sheet name="PCM - Inputs 4" sheetId="78" r:id="rId28"/>
    <sheet name="PCM - BCA" sheetId="53" r:id="rId29"/>
    <sheet name="PCM - Timeline" sheetId="54" r:id="rId30"/>
    <sheet name="Project Collab - Inputs 1" sheetId="55" r:id="rId31"/>
    <sheet name="Project Collab - Inputs 2" sheetId="79" r:id="rId32"/>
    <sheet name="Project Collab - Inputs 3" sheetId="80" r:id="rId33"/>
    <sheet name="Project Collab - Inputs 4" sheetId="81" r:id="rId34"/>
    <sheet name="Project Collab - BCA" sheetId="56" r:id="rId35"/>
    <sheet name="Project Collab - Timeline" sheetId="57" r:id="rId36"/>
    <sheet name="Dig As-Builts - Inputs 1" sheetId="58" r:id="rId37"/>
    <sheet name="Dig As-Builts - Inputs 2" sheetId="82" r:id="rId38"/>
    <sheet name="Dig As-Builts - Inputs 3" sheetId="83" r:id="rId39"/>
    <sheet name="Dig As-Builts - Inputs 4" sheetId="84" r:id="rId40"/>
    <sheet name="Dig As-Builts - BCA" sheetId="59" r:id="rId41"/>
    <sheet name="Dig As-Builts - Timeline" sheetId="60" r:id="rId42"/>
    <sheet name="Mobile - Inputs 1" sheetId="61" r:id="rId43"/>
    <sheet name="Mobile - Inputs 2" sheetId="86" r:id="rId44"/>
    <sheet name="Mobile - Inputs 3" sheetId="85" r:id="rId45"/>
    <sheet name="Mobile - Inputs 4" sheetId="88" r:id="rId46"/>
    <sheet name="Mobile - BCA" sheetId="62" r:id="rId47"/>
    <sheet name="Mobile - Timeline" sheetId="63" r:id="rId48"/>
    <sheet name="Integration" sheetId="39" r:id="rId49"/>
  </sheets>
  <definedNames>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GoalSeekTargetValue" hidden="1">0</definedName>
    <definedName name="_AtRisk_SimSetting_LiveUpdate" hidden="1">TRUE</definedName>
    <definedName name="_AtRisk_SimSetting_LiveUpdatePeriod" hidden="1">-1</definedName>
    <definedName name="_AtRisk_SimSetting_MacroMode" hidden="1">0</definedName>
    <definedName name="_AtRisk_SimSetting_MacroRecalculationBehavior" hidden="1">0</definedName>
    <definedName name="_AtRisk_SimSetting_MultipleCPUManualCount" hidden="1">4</definedName>
    <definedName name="_AtRisk_SimSetting_MultipleCPUMode" hidden="1">0</definedName>
    <definedName name="_AtRisk_SimSetting_RandomNumberGenerator" hidden="1">0</definedName>
    <definedName name="_AtRisk_SimSetting_ReportOptionCustomItemCumulativeOverlay01" hidden="1">0</definedName>
    <definedName name="_AtRisk_SimSetting_ReportOptionCustomItemCumulativeOverlay02" hidden="1">0</definedName>
    <definedName name="_AtRisk_SimSetting_ReportOptionCustomItemCumulativeOverlay03" hidden="1">0</definedName>
    <definedName name="_AtRisk_SimSetting_ReportOptionCustomItemCumulativeOverlay04" hidden="1">0</definedName>
    <definedName name="_AtRisk_SimSetting_ReportOptionCustomItemCumulativeOverlay05" hidden="1">0</definedName>
    <definedName name="_AtRisk_SimSetting_ReportOptionCustomItemCumulativeOverlay06" hidden="1">0</definedName>
    <definedName name="_AtRisk_SimSetting_ReportOptionCustomItemDistributionFormat01" hidden="1">1</definedName>
    <definedName name="_AtRisk_SimSetting_ReportOptionCustomItemDistributionFormat02" hidden="1">1</definedName>
    <definedName name="_AtRisk_SimSetting_ReportOptionCustomItemDistributionFormat03" hidden="1">4</definedName>
    <definedName name="_AtRisk_SimSetting_ReportOptionCustomItemDistributionFormat04" hidden="1">1</definedName>
    <definedName name="_AtRisk_SimSetting_ReportOptionCustomItemDistributionFormat05" hidden="1">1</definedName>
    <definedName name="_AtRisk_SimSetting_ReportOptionCustomItemDistributionFormat06" hidden="1">1</definedName>
    <definedName name="_AtRisk_SimSetting_ReportOptionCustomItemGraphFormat01" hidden="1">1</definedName>
    <definedName name="_AtRisk_SimSetting_ReportOptionCustomItemGraphFormat02" hidden="1">1</definedName>
    <definedName name="_AtRisk_SimSetting_ReportOptionCustomItemGraphFormat03" hidden="1">1</definedName>
    <definedName name="_AtRisk_SimSetting_ReportOptionCustomItemGraphFormat04" hidden="1">1</definedName>
    <definedName name="_AtRisk_SimSetting_ReportOptionCustomItemGraphFormat05" hidden="1">1</definedName>
    <definedName name="_AtRisk_SimSetting_ReportOptionCustomItemGraphFormat06" hidden="1">1</definedName>
    <definedName name="_AtRisk_SimSetting_ReportOptionCustomItemItemIndex01" hidden="1">0</definedName>
    <definedName name="_AtRisk_SimSetting_ReportOptionCustomItemItemIndex02" hidden="1">1</definedName>
    <definedName name="_AtRisk_SimSetting_ReportOptionCustomItemItemIndex03" hidden="1">2</definedName>
    <definedName name="_AtRisk_SimSetting_ReportOptionCustomItemItemIndex04" hidden="1">3</definedName>
    <definedName name="_AtRisk_SimSetting_ReportOptionCustomItemItemIndex05" hidden="1">4</definedName>
    <definedName name="_AtRisk_SimSetting_ReportOptionCustomItemItemIndex06" hidden="1">5</definedName>
    <definedName name="_AtRisk_SimSetting_ReportOptionCustomItemItemSize01" hidden="1">0</definedName>
    <definedName name="_AtRisk_SimSetting_ReportOptionCustomItemItemSize02" hidden="1">0</definedName>
    <definedName name="_AtRisk_SimSetting_ReportOptionCustomItemItemSize03" hidden="1">0</definedName>
    <definedName name="_AtRisk_SimSetting_ReportOptionCustomItemItemSize04" hidden="1">0</definedName>
    <definedName name="_AtRisk_SimSetting_ReportOptionCustomItemItemSize05" hidden="1">0</definedName>
    <definedName name="_AtRisk_SimSetting_ReportOptionCustomItemItemSize06" hidden="1">0</definedName>
    <definedName name="_AtRisk_SimSetting_ReportOptionCustomItemItemType01" hidden="1">1</definedName>
    <definedName name="_AtRisk_SimSetting_ReportOptionCustomItemItemType02" hidden="1">5</definedName>
    <definedName name="_AtRisk_SimSetting_ReportOptionCustomItemItemType03" hidden="1">1</definedName>
    <definedName name="_AtRisk_SimSetting_ReportOptionCustomItemItemType04" hidden="1">3</definedName>
    <definedName name="_AtRisk_SimSetting_ReportOptionCustomItemItemType05" hidden="1">2</definedName>
    <definedName name="_AtRisk_SimSetting_ReportOptionCustomItemItemType06" hidden="1">4</definedName>
    <definedName name="_AtRisk_SimSetting_ReportOptionCustomItemLegendType01" hidden="1">0</definedName>
    <definedName name="_AtRisk_SimSetting_ReportOptionCustomItemLegendType02" hidden="1">0</definedName>
    <definedName name="_AtRisk_SimSetting_ReportOptionCustomItemLegendType03" hidden="1">0</definedName>
    <definedName name="_AtRisk_SimSetting_ReportOptionCustomItemLegendType04" hidden="1">0</definedName>
    <definedName name="_AtRisk_SimSetting_ReportOptionCustomItemLegendType05" hidden="1">0</definedName>
    <definedName name="_AtRisk_SimSetting_ReportOptionCustomItemLegendType06" hidden="1">0</definedName>
    <definedName name="_AtRisk_SimSetting_ReportOptionCustomItemsCount" hidden="1">6</definedName>
    <definedName name="_AtRisk_SimSetting_ReportOptionCustomItemSensitivityFormat01" hidden="1">1</definedName>
    <definedName name="_AtRisk_SimSetting_ReportOptionCustomItemSensitivityFormat02" hidden="1">1</definedName>
    <definedName name="_AtRisk_SimSetting_ReportOptionCustomItemSensitivityFormat03" hidden="1">1</definedName>
    <definedName name="_AtRisk_SimSetting_ReportOptionCustomItemSensitivityFormat04" hidden="1">1</definedName>
    <definedName name="_AtRisk_SimSetting_ReportOptionCustomItemSensitivityFormat05" hidden="1">1</definedName>
    <definedName name="_AtRisk_SimSetting_ReportOptionCustomItemSensitivityFormat06" hidden="1">1</definedName>
    <definedName name="_AtRisk_SimSetting_ReportOptionCustomItemSummaryGraphType01" hidden="1">0</definedName>
    <definedName name="_AtRisk_SimSetting_ReportOptionCustomItemSummaryGraphType02" hidden="1">0</definedName>
    <definedName name="_AtRisk_SimSetting_ReportOptionCustomItemSummaryGraphType03" hidden="1">0</definedName>
    <definedName name="_AtRisk_SimSetting_ReportOptionCustomItemSummaryGraphType04" hidden="1">0</definedName>
    <definedName name="_AtRisk_SimSetting_ReportOptionCustomItemSummaryGraphType05" hidden="1">0</definedName>
    <definedName name="_AtRisk_SimSetting_ReportOptionCustomItemSummaryGraphType06" hidden="1">0</definedName>
    <definedName name="_AtRisk_SimSetting_ReportOptionDataMode" hidden="1">1</definedName>
    <definedName name="_AtRisk_SimSetting_ReportOptionReportMultiSimType" hidden="1">1</definedName>
    <definedName name="_AtRisk_SimSetting_ReportOptionReportPlacement" hidden="1">1</definedName>
    <definedName name="_AtRisk_SimSetting_ReportOptionReportSelection" hidden="1">4</definedName>
    <definedName name="_AtRisk_SimSetting_ReportOptionReportsFileType" hidden="1">1</definedName>
    <definedName name="_AtRisk_SimSetting_ReportOptionReportStyle" hidden="1">1</definedName>
    <definedName name="_AtRisk_SimSetting_ReportOptionSelectiveQR" hidden="1">FALSE</definedName>
    <definedName name="_AtRisk_SimSetting_ReportsList" hidden="1">4</definedName>
    <definedName name="_AtRisk_SimSetting_ShowSimulationProgressWindow" hidden="1">TRUE</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xlnm.Print_Area" localSheetId="2">'How-to-Use-Template 2'!$A$1:$B$25</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7</definedName>
    <definedName name="RiskMinimizeOnStart" hidden="1">FALSE</definedName>
    <definedName name="RiskMonitorConvergence" hidden="1">FALSE</definedName>
    <definedName name="RiskMultipleCPUSupportEnabled" hidden="1">TRUE</definedName>
    <definedName name="RiskNumIterations" hidden="1">10000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TRUE</definedName>
    <definedName name="TitleRegion1.A11.D16.6">Table6[[#Headers],[Input Category (I)]]</definedName>
    <definedName name="TitleRegion1.A11.D17.36">Table36[[#Headers],[Input Category (I)]]</definedName>
    <definedName name="TitleRegion1.A11.D18.18">Table18[[#Headers],[Input Category (I)]]</definedName>
    <definedName name="TitleRegion1.A11.D19.30">Table30[[#Headers],[Input Category (I)]]</definedName>
    <definedName name="TitleRegion1.A11.D20.12">Table12[[#Headers],[Input Category (I)]]</definedName>
    <definedName name="TitleRegion1.A11.D22.42">Table42[[#Headers],[Input Category (I)]]</definedName>
    <definedName name="TitleRegion1.A11.D23.24">Table24[[#Headers],[Input Category (I)]]</definedName>
    <definedName name="TitleRegion1.A11.F15.20">Table20[[#Headers],[Staff (I)]]</definedName>
    <definedName name="TitleRegion1.A11.F16.14">Table14[[#Headers],[Staff (I)]]</definedName>
    <definedName name="TitleRegion1.A11.F17.44">Table44[[#Headers],[Staff (I)]]</definedName>
    <definedName name="TitleRegion1.A11.F18.32">Table32[[#Headers],[Staff (I)]]</definedName>
    <definedName name="TitleRegion1.A11.F18.38">Table38[[#Headers],[Staff (I)]]</definedName>
    <definedName name="TitleRegion1.A11.F18.8">Table8[[#Headers],[Staff (I)]]</definedName>
    <definedName name="TitleRegion1.A11.F19.26">Table26[[#Headers],[Staff (I)]]</definedName>
    <definedName name="TitleRegion1.A11.I14.10">Table10[[#Headers],[Benefits (Quantifiable) (O)]]</definedName>
    <definedName name="TitleRegion1.A11.I14.40">Table40[[#Headers],[Benefits (Quantifiable) (O)]]</definedName>
    <definedName name="TitleRegion1.A11.I15.16">Table16[[#Headers],[Benefits (Quantifiable) (O)]]</definedName>
    <definedName name="TitleRegion1.A11.I15.22">Table22[[#Headers],[Benefits (Quantifiable) (O)]]</definedName>
    <definedName name="TitleRegion1.A11.I15.34">Table34[[#Headers],[Benefits (Quantifiable) (O)]]</definedName>
    <definedName name="TitleRegion1.A11.I16.28">Table28[[#Headers],[Benefits (Quantifiable) (O)]]</definedName>
    <definedName name="TitleRegion1.A11.I18.46">Table46[[#Headers],[Benefits (Quantifiable) (O)]]</definedName>
    <definedName name="TitleRegion1.A11.J13.19">Table19[[#Headers],[Anticipated Benefit Stream (I)]]</definedName>
    <definedName name="TitleRegion1.A11.J13.31">Table31[[#Headers],[Anticipated Benefit Stream (I)]]</definedName>
    <definedName name="TitleRegion1.A11.J13.37">Table37[[#Headers],[Anticipated Benefit Stream (I)]]</definedName>
    <definedName name="TitleRegion1.A11.J13.7">Table7[[#Headers],[Anticipated Benefit Stream (I)]]</definedName>
    <definedName name="TitleRegion1.A11.J14.13">Table13[[#Headers],[Anticipated Benefit Stream (I)]]</definedName>
    <definedName name="TitleRegion1.A11.J15.25">Table25[[#Headers],[Anticipated Benefit Stream (I)]]</definedName>
    <definedName name="TitleRegion1.A11.J17.43">Table43[[#Headers],[Anticipated Benefit Stream (I)]]</definedName>
    <definedName name="TitleRegion1.A11.J22.15">Table15[[#Headers],[Costs (I)]]</definedName>
    <definedName name="TitleRegion1.A11.J22.27">Table27[[#Headers],[Costs (I)]]</definedName>
    <definedName name="TitleRegion1.A11.J22.33">Table33[[#Headers],[Costs (I)]]</definedName>
    <definedName name="TitleRegion1.A11.J22.9">Table9[[#Headers],[Costs (I)]]</definedName>
    <definedName name="TitleRegion1.A11.J23.39">Table39[[#Headers],[Costs (I)]]</definedName>
    <definedName name="TitleRegion1.A11.J24.21">Table21[[#Headers],[Costs (I)]]</definedName>
    <definedName name="TitleRegion1.A11.J25.45">Table45[[#Headers],[Costs (I)]]</definedName>
    <definedName name="TitleRegion1.A6.D16.48">Table48[[#Headers],[Benefit]]</definedName>
    <definedName name="TitleRegion1.A8.B11.1">Table1[[#Headers],[Worksheet Tab]]</definedName>
    <definedName name="TitleRegion1.A8.B11.2">Table2[[#Headers],[Abbreviation]]</definedName>
    <definedName name="TitleRegion1.A8.B16.3">Table3[[#Headers],[e-Construction Opportunity]]</definedName>
    <definedName name="TitleRegion1.A8.C15.5">Table5[[#Headers],[Improvement Opportunity]]</definedName>
    <definedName name="TitleRegion1.A8.C32.4">Table4[[#Headers],[State]]</definedName>
    <definedName name="TitleRegion2.A16.I30.10">Table11[[#Headers],[Costs (O)]]</definedName>
    <definedName name="TitleRegion2.A16.I31.40">Table41[[#Headers],[Costs (O)]]</definedName>
    <definedName name="TitleRegion2.A17.I31.16">Table16[[#Headers],[Benefits (Quantifiable) (O)]]</definedName>
    <definedName name="TitleRegion2.A17.I31.34">Table35[[#Headers],[Costs (O)]]</definedName>
    <definedName name="TitleRegion2.A17.I32.22">Table23[[#Headers],[Costs (O)]]</definedName>
    <definedName name="TitleRegion2.A18.I32.28">Table29[[#Headers],[Costs (O)]]</definedName>
    <definedName name="TitleRegion2.A20.I37.46">Table47[[#Headers],[Costs (O)]]</definedName>
  </definedNames>
  <calcPr calcId="171027"/>
</workbook>
</file>

<file path=xl/calcChain.xml><?xml version="1.0" encoding="utf-8"?>
<calcChain xmlns="http://schemas.openxmlformats.org/spreadsheetml/2006/main">
  <c r="D37" i="62" l="1"/>
  <c r="C37" i="62"/>
  <c r="F54" i="62"/>
  <c r="B39" i="62"/>
  <c r="B33" i="59"/>
  <c r="B33" i="56"/>
  <c r="B34" i="53"/>
  <c r="B34" i="50"/>
  <c r="B33" i="41"/>
  <c r="A13" i="56"/>
  <c r="C13" i="84" l="1"/>
  <c r="C23" i="84"/>
  <c r="C22" i="84"/>
  <c r="C21" i="84"/>
  <c r="C20" i="84"/>
  <c r="C19" i="84"/>
  <c r="C18" i="84"/>
  <c r="C17" i="84"/>
  <c r="C16" i="84"/>
  <c r="C15" i="84"/>
  <c r="C14" i="84"/>
  <c r="F17" i="83"/>
  <c r="F18" i="83"/>
  <c r="A12" i="62" l="1"/>
  <c r="C25" i="88"/>
  <c r="D21" i="88"/>
  <c r="G21" i="88" s="1"/>
  <c r="D20" i="88"/>
  <c r="C20" i="88" s="1"/>
  <c r="C19" i="88"/>
  <c r="C18" i="88"/>
  <c r="C17" i="88"/>
  <c r="D16" i="88"/>
  <c r="E16" i="88" s="1"/>
  <c r="C15" i="88"/>
  <c r="C14" i="88"/>
  <c r="C13" i="88"/>
  <c r="C12" i="88"/>
  <c r="F15" i="85"/>
  <c r="F17" i="85" s="1"/>
  <c r="F14" i="85"/>
  <c r="C14" i="85"/>
  <c r="B14" i="85"/>
  <c r="C13" i="85"/>
  <c r="F13" i="85" s="1"/>
  <c r="B13" i="85"/>
  <c r="C12" i="85"/>
  <c r="F12" i="85" s="1"/>
  <c r="B12" i="85"/>
  <c r="C17" i="86"/>
  <c r="C16" i="86"/>
  <c r="C15" i="86"/>
  <c r="C14" i="86"/>
  <c r="C13" i="86"/>
  <c r="C12" i="86"/>
  <c r="D24" i="88" l="1"/>
  <c r="E24" i="88" s="1"/>
  <c r="F24" i="88" s="1"/>
  <c r="G24" i="88" s="1"/>
  <c r="H24" i="88" s="1"/>
  <c r="I24" i="88" s="1"/>
  <c r="J24" i="88" s="1"/>
  <c r="F16" i="88"/>
  <c r="G16" i="88" s="1"/>
  <c r="H16" i="88" s="1"/>
  <c r="I16" i="88" s="1"/>
  <c r="J16" i="88" s="1"/>
  <c r="C16" i="88"/>
  <c r="J21" i="88"/>
  <c r="C21" i="88" s="1"/>
  <c r="G22" i="88"/>
  <c r="D22" i="88"/>
  <c r="F16" i="85"/>
  <c r="D23" i="88" s="1"/>
  <c r="C23" i="88" s="1"/>
  <c r="E22" i="88" l="1"/>
  <c r="F22" i="88" s="1"/>
  <c r="H22" i="88" s="1"/>
  <c r="I22" i="88" s="1"/>
  <c r="J22" i="88" s="1"/>
  <c r="C24" i="88"/>
  <c r="C22" i="88" l="1"/>
  <c r="D12" i="84" l="1"/>
  <c r="E12" i="84" s="1"/>
  <c r="F16" i="83"/>
  <c r="F15" i="83"/>
  <c r="F14" i="83"/>
  <c r="F13" i="83"/>
  <c r="F12" i="83"/>
  <c r="C13" i="82"/>
  <c r="C12" i="82"/>
  <c r="C22" i="81"/>
  <c r="C21" i="81"/>
  <c r="C20" i="81"/>
  <c r="C19" i="81"/>
  <c r="C18" i="81"/>
  <c r="C17" i="81"/>
  <c r="C16" i="81"/>
  <c r="C15" i="81"/>
  <c r="C14" i="81"/>
  <c r="D13" i="81"/>
  <c r="C12" i="81"/>
  <c r="F16" i="80"/>
  <c r="F18" i="80" s="1"/>
  <c r="F15" i="80"/>
  <c r="F14" i="80"/>
  <c r="F13" i="80"/>
  <c r="F12" i="80"/>
  <c r="F17" i="80" s="1"/>
  <c r="C13" i="79"/>
  <c r="C12" i="79"/>
  <c r="F12" i="84" l="1"/>
  <c r="G12" i="84" s="1"/>
  <c r="H12" i="84" s="1"/>
  <c r="I12" i="84" s="1"/>
  <c r="J12" i="84" s="1"/>
  <c r="E13" i="81"/>
  <c r="F13" i="81" s="1"/>
  <c r="G13" i="81" s="1"/>
  <c r="H13" i="81" s="1"/>
  <c r="I13" i="81" s="1"/>
  <c r="J13" i="81" s="1"/>
  <c r="H19" i="78"/>
  <c r="C19" i="78"/>
  <c r="D18" i="78"/>
  <c r="E18" i="78" s="1"/>
  <c r="C17" i="78"/>
  <c r="C16" i="78"/>
  <c r="C15" i="78"/>
  <c r="H22" i="78" s="1"/>
  <c r="C22" i="78" s="1"/>
  <c r="C14" i="78"/>
  <c r="F13" i="78"/>
  <c r="C12" i="78"/>
  <c r="F17" i="77"/>
  <c r="F19" i="77" s="1"/>
  <c r="F16" i="77"/>
  <c r="F15" i="77"/>
  <c r="F14" i="77"/>
  <c r="F13" i="77"/>
  <c r="F12" i="77"/>
  <c r="C15" i="76"/>
  <c r="C14" i="76"/>
  <c r="C13" i="76"/>
  <c r="C12" i="76"/>
  <c r="C24" i="75"/>
  <c r="D23" i="75"/>
  <c r="C23" i="75" s="1"/>
  <c r="C20" i="75"/>
  <c r="D19" i="75"/>
  <c r="C19" i="75"/>
  <c r="C18" i="75"/>
  <c r="C17" i="75"/>
  <c r="C16" i="75"/>
  <c r="C15" i="75"/>
  <c r="C14" i="75"/>
  <c r="D13" i="75"/>
  <c r="C12" i="75"/>
  <c r="F13" i="74"/>
  <c r="F15" i="74" s="1"/>
  <c r="D22" i="75" s="1"/>
  <c r="E22" i="75" s="1"/>
  <c r="F22" i="75" s="1"/>
  <c r="G22" i="75" s="1"/>
  <c r="H22" i="75" s="1"/>
  <c r="I22" i="75" s="1"/>
  <c r="J22" i="75" s="1"/>
  <c r="B12" i="74"/>
  <c r="F12" i="74" s="1"/>
  <c r="F14" i="74" s="1"/>
  <c r="C13" i="73"/>
  <c r="C12" i="73"/>
  <c r="D17" i="72"/>
  <c r="H19" i="72" s="1"/>
  <c r="C19" i="72" s="1"/>
  <c r="C16" i="72"/>
  <c r="C15" i="72"/>
  <c r="D13" i="72"/>
  <c r="E14" i="72" s="1"/>
  <c r="C12" i="72"/>
  <c r="F14" i="71"/>
  <c r="F16" i="71" s="1"/>
  <c r="B13" i="71"/>
  <c r="F13" i="71" s="1"/>
  <c r="B12" i="71"/>
  <c r="F12" i="71" s="1"/>
  <c r="F15" i="71" s="1"/>
  <c r="E20" i="72" s="1"/>
  <c r="C13" i="70"/>
  <c r="C12" i="70"/>
  <c r="C12" i="84" l="1"/>
  <c r="C13" i="81"/>
  <c r="F21" i="78"/>
  <c r="G21" i="78" s="1"/>
  <c r="H21" i="78" s="1"/>
  <c r="I21" i="78" s="1"/>
  <c r="J21" i="78" s="1"/>
  <c r="F18" i="77"/>
  <c r="F18" i="78"/>
  <c r="G18" i="78" s="1"/>
  <c r="H18" i="78" s="1"/>
  <c r="I18" i="78" s="1"/>
  <c r="J18" i="78" s="1"/>
  <c r="G13" i="78"/>
  <c r="H13" i="78" s="1"/>
  <c r="I13" i="78" s="1"/>
  <c r="J13" i="78" s="1"/>
  <c r="D21" i="75"/>
  <c r="C21" i="75" s="1"/>
  <c r="E13" i="75"/>
  <c r="F13" i="75" s="1"/>
  <c r="G13" i="75" s="1"/>
  <c r="H13" i="75" s="1"/>
  <c r="I13" i="75" s="1"/>
  <c r="J13" i="75" s="1"/>
  <c r="C22" i="75"/>
  <c r="C13" i="72"/>
  <c r="E21" i="72"/>
  <c r="F21" i="72" s="1"/>
  <c r="G21" i="72" s="1"/>
  <c r="H21" i="72" s="1"/>
  <c r="I21" i="72" s="1"/>
  <c r="J21" i="72" s="1"/>
  <c r="D20" i="72"/>
  <c r="C20" i="72" s="1"/>
  <c r="G22" i="72" s="1"/>
  <c r="C22" i="72" s="1"/>
  <c r="F14" i="72"/>
  <c r="G14" i="72" s="1"/>
  <c r="H14" i="72" s="1"/>
  <c r="I14" i="72" s="1"/>
  <c r="J14" i="72" s="1"/>
  <c r="C17" i="72"/>
  <c r="E18" i="72"/>
  <c r="C13" i="78" l="1"/>
  <c r="C21" i="78"/>
  <c r="D20" i="78"/>
  <c r="E20" i="78"/>
  <c r="C18" i="78"/>
  <c r="C13" i="75"/>
  <c r="C21" i="72"/>
  <c r="F18" i="72"/>
  <c r="G18" i="72" s="1"/>
  <c r="C14" i="72"/>
  <c r="C20" i="78" l="1"/>
  <c r="C18" i="72"/>
  <c r="C13" i="65"/>
  <c r="C12" i="65"/>
  <c r="C19" i="67" l="1"/>
  <c r="C18" i="67"/>
  <c r="C17" i="67"/>
  <c r="C16" i="67"/>
  <c r="E15" i="67"/>
  <c r="D15" i="67"/>
  <c r="C14" i="67"/>
  <c r="E13" i="67"/>
  <c r="F13" i="67" s="1"/>
  <c r="C12" i="67"/>
  <c r="F16" i="66"/>
  <c r="F18" i="66" s="1"/>
  <c r="E21" i="67" s="1"/>
  <c r="F15" i="66"/>
  <c r="B14" i="66"/>
  <c r="F14" i="66" s="1"/>
  <c r="B13" i="66"/>
  <c r="F13" i="66" s="1"/>
  <c r="B12" i="66"/>
  <c r="F12" i="66" s="1"/>
  <c r="C15" i="67" l="1"/>
  <c r="G22" i="67" s="1"/>
  <c r="J22" i="67" s="1"/>
  <c r="C22" i="67" s="1"/>
  <c r="G13" i="67"/>
  <c r="H13" i="67" s="1"/>
  <c r="I13" i="67" s="1"/>
  <c r="J13" i="67" s="1"/>
  <c r="F21" i="67"/>
  <c r="G21" i="67" s="1"/>
  <c r="H21" i="67" s="1"/>
  <c r="I21" i="67" s="1"/>
  <c r="J21" i="67" s="1"/>
  <c r="F17" i="66"/>
  <c r="I12" i="62"/>
  <c r="I13" i="62"/>
  <c r="I14" i="62"/>
  <c r="E15" i="62"/>
  <c r="I15" i="62"/>
  <c r="I16" i="62"/>
  <c r="G17" i="62"/>
  <c r="I17" i="62"/>
  <c r="I21" i="62"/>
  <c r="I22" i="62"/>
  <c r="I23" i="62"/>
  <c r="I24" i="62"/>
  <c r="I26" i="62"/>
  <c r="I27" i="62"/>
  <c r="I28" i="62"/>
  <c r="I29" i="62"/>
  <c r="I32" i="62"/>
  <c r="I34" i="62"/>
  <c r="H17" i="62"/>
  <c r="H21" i="62"/>
  <c r="H22" i="62"/>
  <c r="H23" i="62"/>
  <c r="H24" i="62"/>
  <c r="H26" i="62"/>
  <c r="H27" i="62"/>
  <c r="H28" i="62"/>
  <c r="H29" i="62"/>
  <c r="H30" i="62"/>
  <c r="H32" i="62"/>
  <c r="H34" i="62"/>
  <c r="G12" i="62"/>
  <c r="G14" i="62"/>
  <c r="G15" i="62"/>
  <c r="G21" i="62"/>
  <c r="G22" i="62"/>
  <c r="G23" i="62"/>
  <c r="G24" i="62"/>
  <c r="G26" i="62"/>
  <c r="G27" i="62"/>
  <c r="G28" i="62"/>
  <c r="G29" i="62"/>
  <c r="G30" i="62"/>
  <c r="G32" i="62"/>
  <c r="G34" i="62"/>
  <c r="F14" i="62"/>
  <c r="F15" i="62"/>
  <c r="F17" i="62"/>
  <c r="F21" i="62"/>
  <c r="F22" i="62"/>
  <c r="F23" i="62"/>
  <c r="F24" i="62"/>
  <c r="F26" i="62"/>
  <c r="F27" i="62"/>
  <c r="F28" i="62"/>
  <c r="F29" i="62"/>
  <c r="F31" i="62"/>
  <c r="F32" i="62"/>
  <c r="F34" i="62"/>
  <c r="E14" i="62"/>
  <c r="E17" i="62"/>
  <c r="E21" i="62"/>
  <c r="E22" i="62"/>
  <c r="E23" i="62"/>
  <c r="E24" i="62"/>
  <c r="E26" i="62"/>
  <c r="E27" i="62"/>
  <c r="E28" i="62"/>
  <c r="E29" i="62"/>
  <c r="E30" i="62"/>
  <c r="E32" i="62"/>
  <c r="E34" i="62"/>
  <c r="D12" i="62"/>
  <c r="D17" i="62"/>
  <c r="D21" i="62"/>
  <c r="D22" i="62"/>
  <c r="D23" i="62"/>
  <c r="D24" i="62"/>
  <c r="D26" i="62"/>
  <c r="D27" i="62"/>
  <c r="D28" i="62"/>
  <c r="D29" i="62"/>
  <c r="D30" i="62"/>
  <c r="D32" i="62"/>
  <c r="D34" i="62"/>
  <c r="C12" i="62"/>
  <c r="C14" i="62"/>
  <c r="C21" i="62"/>
  <c r="C22" i="62"/>
  <c r="C23" i="62"/>
  <c r="C24" i="62"/>
  <c r="C26" i="62"/>
  <c r="C27" i="62"/>
  <c r="C28" i="62"/>
  <c r="C34" i="62"/>
  <c r="G12" i="59"/>
  <c r="I12" i="59"/>
  <c r="I13" i="59"/>
  <c r="I18" i="59"/>
  <c r="I19" i="59"/>
  <c r="I20" i="59"/>
  <c r="I21" i="59"/>
  <c r="I22" i="59"/>
  <c r="I23" i="59"/>
  <c r="I24" i="59"/>
  <c r="I25" i="59"/>
  <c r="I26" i="59"/>
  <c r="I27" i="59"/>
  <c r="I28" i="59"/>
  <c r="H12" i="59"/>
  <c r="H18" i="59"/>
  <c r="H19" i="59"/>
  <c r="H20" i="59"/>
  <c r="H21" i="59"/>
  <c r="H22" i="59"/>
  <c r="H23" i="59"/>
  <c r="H24" i="59"/>
  <c r="H25" i="59"/>
  <c r="H26" i="59"/>
  <c r="H27" i="59"/>
  <c r="H28" i="59"/>
  <c r="G18" i="59"/>
  <c r="G19" i="59"/>
  <c r="G20" i="59"/>
  <c r="G21" i="59"/>
  <c r="G22" i="59"/>
  <c r="G23" i="59"/>
  <c r="G24" i="59"/>
  <c r="G25" i="59"/>
  <c r="G26" i="59"/>
  <c r="G27" i="59"/>
  <c r="G28" i="59"/>
  <c r="F18" i="59"/>
  <c r="F19" i="59"/>
  <c r="F20" i="59"/>
  <c r="F21" i="59"/>
  <c r="F22" i="59"/>
  <c r="F23" i="59"/>
  <c r="F24" i="59"/>
  <c r="F25" i="59"/>
  <c r="F26" i="59"/>
  <c r="F27" i="59"/>
  <c r="F28" i="59"/>
  <c r="E18" i="59"/>
  <c r="E19" i="59"/>
  <c r="E20" i="59"/>
  <c r="E21" i="59"/>
  <c r="E22" i="59"/>
  <c r="E23" i="59"/>
  <c r="E24" i="59"/>
  <c r="E25" i="59"/>
  <c r="E26" i="59"/>
  <c r="E27" i="59"/>
  <c r="E28" i="59"/>
  <c r="D18" i="59"/>
  <c r="D19" i="59"/>
  <c r="D20" i="59"/>
  <c r="D21" i="59"/>
  <c r="D22" i="59"/>
  <c r="D23" i="59"/>
  <c r="D24" i="59"/>
  <c r="D25" i="59"/>
  <c r="D26" i="59"/>
  <c r="D27" i="59"/>
  <c r="D28" i="59"/>
  <c r="C17" i="59"/>
  <c r="C18" i="59"/>
  <c r="C19" i="59"/>
  <c r="C20" i="59"/>
  <c r="C21" i="59"/>
  <c r="C22" i="59"/>
  <c r="C23" i="59"/>
  <c r="C24" i="59"/>
  <c r="C25" i="59"/>
  <c r="C26" i="59"/>
  <c r="C27" i="59"/>
  <c r="C28" i="59"/>
  <c r="I13" i="56"/>
  <c r="I14" i="56"/>
  <c r="I18" i="56"/>
  <c r="I20" i="56"/>
  <c r="I21" i="56"/>
  <c r="I22" i="56"/>
  <c r="I23" i="56"/>
  <c r="I24" i="56"/>
  <c r="I25" i="56"/>
  <c r="I26" i="56"/>
  <c r="I27" i="56"/>
  <c r="I28" i="56"/>
  <c r="H13" i="56"/>
  <c r="H14" i="56"/>
  <c r="H18" i="56"/>
  <c r="H20" i="56"/>
  <c r="H21" i="56"/>
  <c r="H22" i="56"/>
  <c r="H23" i="56"/>
  <c r="H24" i="56"/>
  <c r="H25" i="56"/>
  <c r="H26" i="56"/>
  <c r="H27" i="56"/>
  <c r="H28" i="56"/>
  <c r="G13" i="56"/>
  <c r="G14" i="56"/>
  <c r="G18" i="56"/>
  <c r="G20" i="56"/>
  <c r="G21" i="56"/>
  <c r="G22" i="56"/>
  <c r="G23" i="56"/>
  <c r="G24" i="56"/>
  <c r="G25" i="56"/>
  <c r="G26" i="56"/>
  <c r="G27" i="56"/>
  <c r="G28" i="56"/>
  <c r="F13" i="56"/>
  <c r="F14" i="56"/>
  <c r="F18" i="56"/>
  <c r="F20" i="56"/>
  <c r="F21" i="56"/>
  <c r="F22" i="56"/>
  <c r="F23" i="56"/>
  <c r="F24" i="56"/>
  <c r="F25" i="56"/>
  <c r="F26" i="56"/>
  <c r="F27" i="56"/>
  <c r="F28" i="56"/>
  <c r="E13" i="56"/>
  <c r="E14" i="56"/>
  <c r="E18" i="56"/>
  <c r="E20" i="56"/>
  <c r="E21" i="56"/>
  <c r="E22" i="56"/>
  <c r="E23" i="56"/>
  <c r="E24" i="56"/>
  <c r="E25" i="56"/>
  <c r="E26" i="56"/>
  <c r="E27" i="56"/>
  <c r="E28" i="56"/>
  <c r="D13" i="56"/>
  <c r="D14" i="56"/>
  <c r="D18" i="56"/>
  <c r="D20" i="56"/>
  <c r="D21" i="56"/>
  <c r="D22" i="56"/>
  <c r="D23" i="56"/>
  <c r="D24" i="56"/>
  <c r="D25" i="56"/>
  <c r="D26" i="56"/>
  <c r="D27" i="56"/>
  <c r="D28" i="56"/>
  <c r="C13" i="56"/>
  <c r="C14" i="56"/>
  <c r="B14" i="56" s="1"/>
  <c r="C18" i="56"/>
  <c r="C20" i="56"/>
  <c r="C21" i="56"/>
  <c r="C22" i="56"/>
  <c r="C23" i="56"/>
  <c r="C24" i="56"/>
  <c r="C25" i="56"/>
  <c r="C26" i="56"/>
  <c r="C27" i="56"/>
  <c r="C28" i="56"/>
  <c r="G12" i="53"/>
  <c r="G13" i="53"/>
  <c r="H14" i="53"/>
  <c r="F15" i="53"/>
  <c r="I15" i="53"/>
  <c r="I19" i="53"/>
  <c r="I21" i="53"/>
  <c r="I22" i="53"/>
  <c r="I23" i="53"/>
  <c r="I24" i="53"/>
  <c r="C25" i="53"/>
  <c r="I26" i="53"/>
  <c r="I27" i="53"/>
  <c r="I29" i="53"/>
  <c r="H19" i="53"/>
  <c r="H21" i="53"/>
  <c r="H22" i="53"/>
  <c r="H23" i="53"/>
  <c r="H24" i="53"/>
  <c r="H26" i="53"/>
  <c r="H27" i="53"/>
  <c r="H29" i="53"/>
  <c r="G15" i="53"/>
  <c r="G19" i="53"/>
  <c r="G21" i="53"/>
  <c r="G22" i="53"/>
  <c r="G23" i="53"/>
  <c r="G24" i="53"/>
  <c r="G26" i="53"/>
  <c r="G27" i="53"/>
  <c r="B22" i="53"/>
  <c r="F19" i="53"/>
  <c r="F21" i="53"/>
  <c r="F22" i="53"/>
  <c r="F23" i="53"/>
  <c r="F24" i="53"/>
  <c r="F26" i="53"/>
  <c r="F27" i="53"/>
  <c r="F29" i="53"/>
  <c r="E15" i="53"/>
  <c r="E19" i="53"/>
  <c r="E21" i="53"/>
  <c r="E22" i="53"/>
  <c r="E23" i="53"/>
  <c r="E24" i="53"/>
  <c r="E26" i="53"/>
  <c r="E27" i="53"/>
  <c r="E29" i="53"/>
  <c r="D13" i="53"/>
  <c r="D19" i="53"/>
  <c r="D20" i="53"/>
  <c r="D21" i="53"/>
  <c r="D22" i="53"/>
  <c r="D23" i="53"/>
  <c r="D24" i="53"/>
  <c r="D26" i="53"/>
  <c r="D28" i="53"/>
  <c r="D29" i="53"/>
  <c r="C12" i="53"/>
  <c r="C19" i="53"/>
  <c r="C20" i="53"/>
  <c r="C21" i="53"/>
  <c r="C22" i="53"/>
  <c r="C23" i="53"/>
  <c r="C24" i="53"/>
  <c r="C26" i="53"/>
  <c r="C28" i="53"/>
  <c r="C29" i="53"/>
  <c r="I12" i="41"/>
  <c r="H13" i="41"/>
  <c r="B19" i="40"/>
  <c r="C14" i="70" s="1"/>
  <c r="I18" i="41"/>
  <c r="I19" i="41"/>
  <c r="C19" i="41"/>
  <c r="I21" i="41"/>
  <c r="I22" i="41"/>
  <c r="I23" i="41"/>
  <c r="I24" i="41"/>
  <c r="I25" i="41"/>
  <c r="I26" i="41"/>
  <c r="I28" i="41"/>
  <c r="H18" i="41"/>
  <c r="H19" i="41"/>
  <c r="H21" i="41"/>
  <c r="H22" i="41"/>
  <c r="H23" i="41"/>
  <c r="H24" i="41"/>
  <c r="H25" i="41"/>
  <c r="H26" i="41"/>
  <c r="H28" i="41"/>
  <c r="G13" i="41"/>
  <c r="G18" i="41"/>
  <c r="G19" i="41"/>
  <c r="G21" i="41"/>
  <c r="G22" i="41"/>
  <c r="G23" i="41"/>
  <c r="G24" i="41"/>
  <c r="G26" i="41"/>
  <c r="G28" i="41"/>
  <c r="F18" i="41"/>
  <c r="F19" i="41"/>
  <c r="F21" i="41"/>
  <c r="F22" i="41"/>
  <c r="F23" i="41"/>
  <c r="F25" i="41"/>
  <c r="F26" i="41"/>
  <c r="E13" i="41"/>
  <c r="E18" i="41"/>
  <c r="E19" i="41"/>
  <c r="E21" i="41"/>
  <c r="E22" i="41"/>
  <c r="E23" i="41"/>
  <c r="E25" i="41"/>
  <c r="E26" i="41"/>
  <c r="E28" i="41"/>
  <c r="D13" i="41"/>
  <c r="D18" i="41"/>
  <c r="D19" i="41"/>
  <c r="D21" i="41"/>
  <c r="D22" i="41"/>
  <c r="D23" i="41"/>
  <c r="D25" i="41"/>
  <c r="D28" i="41"/>
  <c r="C12" i="41"/>
  <c r="C18" i="41"/>
  <c r="C20" i="41"/>
  <c r="C21" i="41"/>
  <c r="C22" i="41"/>
  <c r="C24" i="41"/>
  <c r="C25" i="41"/>
  <c r="C27" i="41"/>
  <c r="C28" i="41"/>
  <c r="B28" i="56"/>
  <c r="B27" i="56"/>
  <c r="B26" i="56"/>
  <c r="B25" i="56"/>
  <c r="B24" i="56"/>
  <c r="B23" i="56"/>
  <c r="B22" i="56"/>
  <c r="B21" i="56"/>
  <c r="B20" i="56"/>
  <c r="B18" i="56"/>
  <c r="B24" i="53"/>
  <c r="B23" i="53"/>
  <c r="B21" i="53"/>
  <c r="B19" i="53"/>
  <c r="D18" i="50"/>
  <c r="C19" i="50"/>
  <c r="D20" i="50"/>
  <c r="D21" i="50"/>
  <c r="D22" i="50"/>
  <c r="D23" i="50"/>
  <c r="D24" i="50"/>
  <c r="D25" i="50"/>
  <c r="D26" i="50"/>
  <c r="D27" i="50"/>
  <c r="D29" i="50"/>
  <c r="C18" i="50"/>
  <c r="C20" i="50"/>
  <c r="C21" i="50"/>
  <c r="C22" i="50"/>
  <c r="C23" i="50"/>
  <c r="C24" i="50"/>
  <c r="E24" i="50"/>
  <c r="F24" i="50"/>
  <c r="G24" i="50"/>
  <c r="H24" i="50"/>
  <c r="I24" i="50"/>
  <c r="C26" i="50"/>
  <c r="C29" i="50"/>
  <c r="E18" i="50"/>
  <c r="E20" i="50"/>
  <c r="E21" i="50"/>
  <c r="E22" i="50"/>
  <c r="E23" i="50"/>
  <c r="E25" i="50"/>
  <c r="E26" i="50"/>
  <c r="E27" i="50"/>
  <c r="E29" i="50"/>
  <c r="F18" i="50"/>
  <c r="F20" i="50"/>
  <c r="F21" i="50"/>
  <c r="F22" i="50"/>
  <c r="F23" i="50"/>
  <c r="F25" i="50"/>
  <c r="F26" i="50"/>
  <c r="F27" i="50"/>
  <c r="F29" i="50"/>
  <c r="G18" i="50"/>
  <c r="G20" i="50"/>
  <c r="G21" i="50"/>
  <c r="G22" i="50"/>
  <c r="G23" i="50"/>
  <c r="G25" i="50"/>
  <c r="G26" i="50"/>
  <c r="G27" i="50"/>
  <c r="G29" i="50"/>
  <c r="H18" i="50"/>
  <c r="H20" i="50"/>
  <c r="H21" i="50"/>
  <c r="H22" i="50"/>
  <c r="H23" i="50"/>
  <c r="H25" i="50"/>
  <c r="H26" i="50"/>
  <c r="H27" i="50"/>
  <c r="H29" i="50"/>
  <c r="I18" i="50"/>
  <c r="I20" i="50"/>
  <c r="I21" i="50"/>
  <c r="I22" i="50"/>
  <c r="I23" i="50"/>
  <c r="I25" i="50"/>
  <c r="I26" i="50"/>
  <c r="I27" i="50"/>
  <c r="I29" i="50"/>
  <c r="H13" i="50"/>
  <c r="I14" i="50"/>
  <c r="A34" i="62"/>
  <c r="A33" i="62"/>
  <c r="A32" i="62"/>
  <c r="A31" i="62"/>
  <c r="A30" i="62"/>
  <c r="A29" i="62"/>
  <c r="A28" i="62"/>
  <c r="A27" i="62"/>
  <c r="A26" i="62"/>
  <c r="A25" i="62"/>
  <c r="A24" i="62"/>
  <c r="A23" i="62"/>
  <c r="A22" i="62"/>
  <c r="A21" i="62"/>
  <c r="A17" i="62"/>
  <c r="A16" i="62"/>
  <c r="A15" i="62"/>
  <c r="A14" i="62"/>
  <c r="A13" i="62"/>
  <c r="A12" i="59"/>
  <c r="A28" i="59"/>
  <c r="A27" i="59"/>
  <c r="A26" i="59"/>
  <c r="A25" i="59"/>
  <c r="A24" i="59"/>
  <c r="A23" i="59"/>
  <c r="A22" i="59"/>
  <c r="A21" i="59"/>
  <c r="A20" i="59"/>
  <c r="A19" i="59"/>
  <c r="A18" i="59"/>
  <c r="A17" i="59"/>
  <c r="A13" i="59"/>
  <c r="A28" i="56"/>
  <c r="A27" i="56"/>
  <c r="A26" i="56"/>
  <c r="A25" i="56"/>
  <c r="A24" i="56"/>
  <c r="A23" i="56"/>
  <c r="A22" i="56"/>
  <c r="A21" i="56"/>
  <c r="A20" i="56"/>
  <c r="A19" i="56"/>
  <c r="A18" i="56"/>
  <c r="A14" i="56"/>
  <c r="A12" i="53"/>
  <c r="A29" i="53"/>
  <c r="A28" i="53"/>
  <c r="A27" i="53"/>
  <c r="A26" i="53"/>
  <c r="A25" i="53"/>
  <c r="A24" i="53"/>
  <c r="A23" i="53"/>
  <c r="A22" i="53"/>
  <c r="A21" i="53"/>
  <c r="A20" i="53"/>
  <c r="A19" i="53"/>
  <c r="A15" i="53"/>
  <c r="A14" i="53"/>
  <c r="A13" i="53"/>
  <c r="A13" i="50"/>
  <c r="A29" i="50"/>
  <c r="A28" i="50"/>
  <c r="A27" i="50"/>
  <c r="A26" i="50"/>
  <c r="A25" i="50"/>
  <c r="A24" i="50"/>
  <c r="A23" i="50"/>
  <c r="A22" i="50"/>
  <c r="A21" i="50"/>
  <c r="A20" i="50"/>
  <c r="A19" i="50"/>
  <c r="A18" i="50"/>
  <c r="A14" i="50"/>
  <c r="A18" i="41"/>
  <c r="A19" i="41"/>
  <c r="A20" i="41"/>
  <c r="A21" i="41"/>
  <c r="A22" i="41"/>
  <c r="A23" i="41"/>
  <c r="A24" i="41"/>
  <c r="A25" i="41"/>
  <c r="A26" i="41"/>
  <c r="A27" i="41"/>
  <c r="A28" i="41"/>
  <c r="A14" i="41"/>
  <c r="A13" i="41"/>
  <c r="A12" i="41"/>
  <c r="H27" i="5"/>
  <c r="G27" i="5"/>
  <c r="E27" i="5"/>
  <c r="D27" i="5"/>
  <c r="C27" i="5"/>
  <c r="C26" i="5"/>
  <c r="I25" i="5"/>
  <c r="H25" i="5"/>
  <c r="G25" i="5"/>
  <c r="F25" i="5"/>
  <c r="E25" i="5"/>
  <c r="I24" i="5"/>
  <c r="H24" i="5"/>
  <c r="G24" i="5"/>
  <c r="F24" i="5"/>
  <c r="E24" i="5"/>
  <c r="D24" i="5"/>
  <c r="C24" i="5"/>
  <c r="I23" i="5"/>
  <c r="H23" i="5"/>
  <c r="G23" i="5"/>
  <c r="F23" i="5"/>
  <c r="E23" i="5"/>
  <c r="D23" i="5"/>
  <c r="C23" i="5"/>
  <c r="I22" i="5"/>
  <c r="H22" i="5"/>
  <c r="G22" i="5"/>
  <c r="F22" i="5"/>
  <c r="E22" i="5"/>
  <c r="D22" i="5"/>
  <c r="C22" i="5"/>
  <c r="I21" i="5"/>
  <c r="H21" i="5"/>
  <c r="G21" i="5"/>
  <c r="F21" i="5"/>
  <c r="E21" i="5"/>
  <c r="D21" i="5"/>
  <c r="C21" i="5"/>
  <c r="I20" i="5"/>
  <c r="H20" i="5"/>
  <c r="G20" i="5"/>
  <c r="F20" i="5"/>
  <c r="E20" i="5"/>
  <c r="I19" i="5"/>
  <c r="H19" i="5"/>
  <c r="G19" i="5"/>
  <c r="F19" i="5"/>
  <c r="E19" i="5"/>
  <c r="D19" i="5"/>
  <c r="C19" i="5"/>
  <c r="C18" i="5"/>
  <c r="I17" i="5"/>
  <c r="H17" i="5"/>
  <c r="G17" i="5"/>
  <c r="F17" i="5"/>
  <c r="E17" i="5"/>
  <c r="D17" i="5"/>
  <c r="C17" i="5"/>
  <c r="D20" i="5"/>
  <c r="C20" i="5"/>
  <c r="F13" i="5"/>
  <c r="E12" i="5"/>
  <c r="C13" i="5"/>
  <c r="D13" i="5"/>
  <c r="A13" i="5"/>
  <c r="A12" i="5"/>
  <c r="D7" i="39"/>
  <c r="D16" i="39"/>
  <c r="D15" i="39"/>
  <c r="D14" i="39"/>
  <c r="D13" i="39"/>
  <c r="D12" i="39"/>
  <c r="D11" i="39"/>
  <c r="D10" i="39"/>
  <c r="D9" i="39"/>
  <c r="D8" i="39"/>
  <c r="A17" i="5"/>
  <c r="A18" i="5"/>
  <c r="A19" i="5"/>
  <c r="A20" i="5"/>
  <c r="A21" i="5"/>
  <c r="A22" i="5"/>
  <c r="A23" i="5"/>
  <c r="A24" i="5"/>
  <c r="A25" i="5"/>
  <c r="A26" i="5"/>
  <c r="A27" i="5"/>
  <c r="B35" i="4"/>
  <c r="B29" i="4"/>
  <c r="B30" i="4"/>
  <c r="B21" i="4"/>
  <c r="B22" i="4"/>
  <c r="B16" i="4"/>
  <c r="B11" i="4"/>
  <c r="H4" i="4"/>
  <c r="B17" i="4"/>
  <c r="H13" i="5"/>
  <c r="G13" i="5"/>
  <c r="I13" i="5"/>
  <c r="E13" i="5"/>
  <c r="C29" i="62" l="1"/>
  <c r="B29" i="62" s="1"/>
  <c r="C32" i="62"/>
  <c r="B32" i="62" s="1"/>
  <c r="G15" i="56"/>
  <c r="H15" i="56"/>
  <c r="B29" i="53"/>
  <c r="B27" i="62"/>
  <c r="C30" i="62"/>
  <c r="E16" i="62"/>
  <c r="G16" i="62"/>
  <c r="H16" i="62"/>
  <c r="C16" i="62"/>
  <c r="D16" i="62"/>
  <c r="B28" i="62"/>
  <c r="H13" i="62"/>
  <c r="B23" i="62"/>
  <c r="C15" i="62"/>
  <c r="D13" i="62"/>
  <c r="B21" i="62"/>
  <c r="F16" i="62"/>
  <c r="H12" i="62"/>
  <c r="B34" i="62"/>
  <c r="E13" i="62"/>
  <c r="C25" i="62"/>
  <c r="D15" i="62"/>
  <c r="E12" i="62"/>
  <c r="F13" i="62"/>
  <c r="H15" i="62"/>
  <c r="C17" i="62"/>
  <c r="B17" i="62" s="1"/>
  <c r="C13" i="62"/>
  <c r="B26" i="62"/>
  <c r="D14" i="62"/>
  <c r="F12" i="62"/>
  <c r="B24" i="62"/>
  <c r="G13" i="62"/>
  <c r="H14" i="62"/>
  <c r="D33" i="62"/>
  <c r="F30" i="62"/>
  <c r="I30" i="62"/>
  <c r="D25" i="62"/>
  <c r="C31" i="62"/>
  <c r="I18" i="62"/>
  <c r="B22" i="62"/>
  <c r="C33" i="62"/>
  <c r="D12" i="59"/>
  <c r="E12" i="59"/>
  <c r="F12" i="59"/>
  <c r="B19" i="59"/>
  <c r="B27" i="59"/>
  <c r="C29" i="59"/>
  <c r="C42" i="59" s="1"/>
  <c r="E47" i="59" s="1"/>
  <c r="B23" i="59"/>
  <c r="B25" i="59"/>
  <c r="B21" i="59"/>
  <c r="B26" i="59"/>
  <c r="B22" i="59"/>
  <c r="E13" i="59"/>
  <c r="B18" i="59"/>
  <c r="B28" i="59"/>
  <c r="B24" i="59"/>
  <c r="B20" i="59"/>
  <c r="I14" i="59"/>
  <c r="E17" i="59"/>
  <c r="E29" i="59" s="1"/>
  <c r="D17" i="59"/>
  <c r="D29" i="59" s="1"/>
  <c r="F13" i="59"/>
  <c r="C13" i="59"/>
  <c r="G13" i="59"/>
  <c r="G14" i="59" s="1"/>
  <c r="C12" i="59"/>
  <c r="D13" i="59"/>
  <c r="H13" i="59"/>
  <c r="H14" i="59" s="1"/>
  <c r="F15" i="56"/>
  <c r="C15" i="56"/>
  <c r="D15" i="56"/>
  <c r="E15" i="56"/>
  <c r="B13" i="56"/>
  <c r="B15" i="56" s="1"/>
  <c r="I15" i="56"/>
  <c r="D19" i="56"/>
  <c r="D29" i="56" s="1"/>
  <c r="C19" i="56"/>
  <c r="C29" i="56" s="1"/>
  <c r="C15" i="53"/>
  <c r="E13" i="53"/>
  <c r="H15" i="53"/>
  <c r="C13" i="53"/>
  <c r="D15" i="53"/>
  <c r="H13" i="53"/>
  <c r="I13" i="53"/>
  <c r="D14" i="53"/>
  <c r="E20" i="53"/>
  <c r="B26" i="53"/>
  <c r="F13" i="53"/>
  <c r="E28" i="53"/>
  <c r="F20" i="53"/>
  <c r="I14" i="53"/>
  <c r="I12" i="53"/>
  <c r="G29" i="53"/>
  <c r="D27" i="53"/>
  <c r="E12" i="53"/>
  <c r="F14" i="53"/>
  <c r="G14" i="53"/>
  <c r="G16" i="53" s="1"/>
  <c r="H12" i="53"/>
  <c r="E25" i="53"/>
  <c r="D12" i="53"/>
  <c r="E14" i="53"/>
  <c r="F12" i="53"/>
  <c r="C14" i="53"/>
  <c r="D25" i="53"/>
  <c r="B20" i="50"/>
  <c r="D14" i="50"/>
  <c r="F14" i="50"/>
  <c r="D19" i="50"/>
  <c r="D13" i="50"/>
  <c r="E13" i="50"/>
  <c r="C25" i="50"/>
  <c r="B25" i="50" s="1"/>
  <c r="B23" i="50"/>
  <c r="B21" i="50"/>
  <c r="C28" i="50"/>
  <c r="F13" i="50"/>
  <c r="C14" i="50"/>
  <c r="H14" i="50"/>
  <c r="H15" i="50" s="1"/>
  <c r="I13" i="50"/>
  <c r="I15" i="50" s="1"/>
  <c r="B18" i="50"/>
  <c r="B26" i="50"/>
  <c r="C13" i="50"/>
  <c r="E14" i="50"/>
  <c r="G14" i="50"/>
  <c r="B24" i="50"/>
  <c r="G13" i="50"/>
  <c r="B22" i="50"/>
  <c r="B29" i="50"/>
  <c r="B18" i="41"/>
  <c r="B19" i="41"/>
  <c r="E27" i="41"/>
  <c r="D27" i="41"/>
  <c r="I14" i="41"/>
  <c r="E14" i="41"/>
  <c r="C14" i="41"/>
  <c r="F14" i="41"/>
  <c r="H14" i="41"/>
  <c r="E12" i="41"/>
  <c r="E15" i="41" s="1"/>
  <c r="H12" i="41"/>
  <c r="I13" i="41"/>
  <c r="B21" i="41"/>
  <c r="D12" i="41"/>
  <c r="G12" i="41"/>
  <c r="B22" i="41"/>
  <c r="F12" i="41"/>
  <c r="E20" i="41"/>
  <c r="D26" i="41"/>
  <c r="C23" i="41"/>
  <c r="B23" i="41" s="1"/>
  <c r="C13" i="41"/>
  <c r="D20" i="41"/>
  <c r="D14" i="41"/>
  <c r="F13" i="41"/>
  <c r="G14" i="41"/>
  <c r="E20" i="67"/>
  <c r="D25" i="5" s="1"/>
  <c r="D20" i="67"/>
  <c r="C13" i="67"/>
  <c r="C21" i="67"/>
  <c r="F27" i="5"/>
  <c r="H12" i="5"/>
  <c r="H14" i="5" s="1"/>
  <c r="E18" i="5"/>
  <c r="G18" i="5"/>
  <c r="C12" i="5"/>
  <c r="C14" i="5" s="1"/>
  <c r="I12" i="5"/>
  <c r="I14" i="5" s="1"/>
  <c r="D12" i="5"/>
  <c r="D14" i="5" s="1"/>
  <c r="F12" i="5"/>
  <c r="F14" i="5" s="1"/>
  <c r="D18" i="5"/>
  <c r="G12" i="5"/>
  <c r="G14" i="5" s="1"/>
  <c r="E14" i="5"/>
  <c r="B17" i="5"/>
  <c r="B22" i="5"/>
  <c r="D26" i="5"/>
  <c r="I27" i="5"/>
  <c r="B19" i="5"/>
  <c r="B21" i="5"/>
  <c r="B24" i="5"/>
  <c r="B13" i="5"/>
  <c r="B20" i="5"/>
  <c r="B23" i="5"/>
  <c r="D14" i="59" l="1"/>
  <c r="D30" i="59" s="1"/>
  <c r="E14" i="59"/>
  <c r="E30" i="59" s="1"/>
  <c r="D42" i="59"/>
  <c r="E48" i="59" s="1"/>
  <c r="B15" i="53"/>
  <c r="B13" i="53"/>
  <c r="D30" i="53"/>
  <c r="H16" i="53"/>
  <c r="D15" i="50"/>
  <c r="F18" i="62"/>
  <c r="B15" i="62"/>
  <c r="G18" i="62"/>
  <c r="B16" i="62"/>
  <c r="C18" i="62"/>
  <c r="B12" i="62"/>
  <c r="H18" i="62"/>
  <c r="D18" i="62"/>
  <c r="B14" i="62"/>
  <c r="B13" i="62"/>
  <c r="B30" i="62"/>
  <c r="E18" i="62"/>
  <c r="C35" i="62"/>
  <c r="E25" i="62"/>
  <c r="E33" i="62"/>
  <c r="D31" i="62"/>
  <c r="D35" i="62" s="1"/>
  <c r="F14" i="59"/>
  <c r="B13" i="59"/>
  <c r="C14" i="59"/>
  <c r="C30" i="59" s="1"/>
  <c r="C31" i="59" s="1"/>
  <c r="B12" i="59"/>
  <c r="B14" i="59" s="1"/>
  <c r="F17" i="59"/>
  <c r="F29" i="59" s="1"/>
  <c r="D30" i="56"/>
  <c r="C43" i="56"/>
  <c r="E48" i="56" s="1"/>
  <c r="C30" i="56"/>
  <c r="C31" i="56" s="1"/>
  <c r="E19" i="56"/>
  <c r="E29" i="56" s="1"/>
  <c r="C16" i="53"/>
  <c r="C27" i="53"/>
  <c r="C30" i="53" s="1"/>
  <c r="C43" i="53" s="1"/>
  <c r="E48" i="53" s="1"/>
  <c r="E30" i="53"/>
  <c r="F16" i="53"/>
  <c r="I16" i="53"/>
  <c r="G20" i="53"/>
  <c r="F28" i="53"/>
  <c r="E16" i="53"/>
  <c r="F25" i="53"/>
  <c r="B27" i="53"/>
  <c r="B14" i="53"/>
  <c r="B12" i="53"/>
  <c r="D16" i="53"/>
  <c r="F15" i="50"/>
  <c r="E15" i="50"/>
  <c r="B14" i="50"/>
  <c r="G15" i="50"/>
  <c r="C27" i="50"/>
  <c r="E19" i="50"/>
  <c r="D28" i="50"/>
  <c r="D30" i="50" s="1"/>
  <c r="C15" i="50"/>
  <c r="B13" i="50"/>
  <c r="I15" i="41"/>
  <c r="F27" i="41"/>
  <c r="F15" i="41"/>
  <c r="G15" i="41"/>
  <c r="B13" i="41"/>
  <c r="B12" i="41"/>
  <c r="F20" i="41"/>
  <c r="D15" i="41"/>
  <c r="H15" i="41"/>
  <c r="D24" i="41"/>
  <c r="G25" i="41"/>
  <c r="B25" i="41" s="1"/>
  <c r="C15" i="41"/>
  <c r="B14" i="41"/>
  <c r="C26" i="41"/>
  <c r="B26" i="41" s="1"/>
  <c r="C20" i="67"/>
  <c r="B27" i="5"/>
  <c r="D28" i="5"/>
  <c r="D29" i="5" s="1"/>
  <c r="F18" i="5"/>
  <c r="B12" i="5"/>
  <c r="B14" i="5" s="1"/>
  <c r="C25" i="5"/>
  <c r="E26" i="5"/>
  <c r="H18" i="5"/>
  <c r="E42" i="59" l="1"/>
  <c r="E49" i="59" s="1"/>
  <c r="D31" i="53"/>
  <c r="B18" i="62"/>
  <c r="D36" i="62"/>
  <c r="F25" i="62"/>
  <c r="C49" i="62"/>
  <c r="E54" i="62" s="1"/>
  <c r="C36" i="62"/>
  <c r="E31" i="62"/>
  <c r="F33" i="62"/>
  <c r="C43" i="59"/>
  <c r="C47" i="59" s="1"/>
  <c r="F47" i="59"/>
  <c r="G17" i="59"/>
  <c r="G29" i="59" s="1"/>
  <c r="F30" i="59"/>
  <c r="D31" i="59"/>
  <c r="E30" i="56"/>
  <c r="C44" i="56"/>
  <c r="C48" i="56" s="1"/>
  <c r="F48" i="56"/>
  <c r="D31" i="56"/>
  <c r="F19" i="56"/>
  <c r="F29" i="56" s="1"/>
  <c r="D43" i="56"/>
  <c r="E49" i="56" s="1"/>
  <c r="F30" i="53"/>
  <c r="F31" i="53" s="1"/>
  <c r="E31" i="53"/>
  <c r="B16" i="53"/>
  <c r="G28" i="53"/>
  <c r="C31" i="53"/>
  <c r="C32" i="53" s="1"/>
  <c r="I20" i="53"/>
  <c r="H20" i="53"/>
  <c r="D43" i="53"/>
  <c r="G25" i="53"/>
  <c r="B15" i="50"/>
  <c r="F19" i="50"/>
  <c r="E28" i="50"/>
  <c r="E30" i="50" s="1"/>
  <c r="D31" i="50"/>
  <c r="C30" i="50"/>
  <c r="C44" i="50" s="1"/>
  <c r="E49" i="50" s="1"/>
  <c r="B27" i="50"/>
  <c r="G27" i="41"/>
  <c r="B15" i="41"/>
  <c r="G20" i="41"/>
  <c r="F28" i="41"/>
  <c r="B28" i="41" s="1"/>
  <c r="D29" i="41"/>
  <c r="C29" i="41"/>
  <c r="C42" i="41" s="1"/>
  <c r="E47" i="41" s="1"/>
  <c r="E24" i="41"/>
  <c r="E29" i="41" s="1"/>
  <c r="E28" i="5"/>
  <c r="E29" i="5" s="1"/>
  <c r="I18" i="5"/>
  <c r="B25" i="5"/>
  <c r="C28" i="5"/>
  <c r="F26" i="5"/>
  <c r="F28" i="5" s="1"/>
  <c r="F29" i="5" s="1"/>
  <c r="F42" i="59" l="1"/>
  <c r="E50" i="59" s="1"/>
  <c r="F48" i="53"/>
  <c r="G31" i="62"/>
  <c r="C50" i="62"/>
  <c r="C54" i="62" s="1"/>
  <c r="D49" i="62"/>
  <c r="E55" i="62" s="1"/>
  <c r="G25" i="62"/>
  <c r="G33" i="62"/>
  <c r="F35" i="62"/>
  <c r="E35" i="62"/>
  <c r="I17" i="59"/>
  <c r="I29" i="59" s="1"/>
  <c r="H17" i="59"/>
  <c r="D43" i="59"/>
  <c r="C48" i="59" s="1"/>
  <c r="F48" i="59"/>
  <c r="E31" i="59"/>
  <c r="F31" i="59" s="1"/>
  <c r="G42" i="59"/>
  <c r="E51" i="59" s="1"/>
  <c r="G30" i="59"/>
  <c r="F30" i="56"/>
  <c r="G19" i="56"/>
  <c r="G29" i="56" s="1"/>
  <c r="D44" i="56"/>
  <c r="C49" i="56" s="1"/>
  <c r="F49" i="56"/>
  <c r="E31" i="56"/>
  <c r="E43" i="56"/>
  <c r="E50" i="56" s="1"/>
  <c r="G30" i="53"/>
  <c r="B20" i="53"/>
  <c r="C44" i="53"/>
  <c r="C48" i="53" s="1"/>
  <c r="D32" i="53"/>
  <c r="I28" i="53"/>
  <c r="H28" i="53"/>
  <c r="E49" i="53"/>
  <c r="E43" i="53"/>
  <c r="G31" i="53"/>
  <c r="H25" i="53"/>
  <c r="D44" i="50"/>
  <c r="E50" i="50" s="1"/>
  <c r="C31" i="50"/>
  <c r="C32" i="50" s="1"/>
  <c r="E31" i="50"/>
  <c r="F28" i="50"/>
  <c r="F30" i="50" s="1"/>
  <c r="G19" i="50"/>
  <c r="C30" i="41"/>
  <c r="C31" i="41" s="1"/>
  <c r="D42" i="41"/>
  <c r="E48" i="41" s="1"/>
  <c r="D30" i="41"/>
  <c r="F24" i="41"/>
  <c r="F29" i="41" s="1"/>
  <c r="H20" i="41"/>
  <c r="E30" i="41"/>
  <c r="H27" i="41"/>
  <c r="G29" i="41"/>
  <c r="C45" i="5"/>
  <c r="C29" i="5"/>
  <c r="G26" i="5"/>
  <c r="G28" i="5" s="1"/>
  <c r="G29" i="5" s="1"/>
  <c r="B18" i="5"/>
  <c r="D32" i="50" l="1"/>
  <c r="H25" i="62"/>
  <c r="F55" i="62"/>
  <c r="D50" i="62"/>
  <c r="C55" i="62" s="1"/>
  <c r="E49" i="62"/>
  <c r="E56" i="62" s="1"/>
  <c r="E36" i="62"/>
  <c r="E37" i="62" s="1"/>
  <c r="G35" i="62"/>
  <c r="F36" i="62"/>
  <c r="H33" i="62"/>
  <c r="H31" i="62"/>
  <c r="F43" i="59"/>
  <c r="C50" i="59" s="1"/>
  <c r="F50" i="59"/>
  <c r="G31" i="59"/>
  <c r="E43" i="59"/>
  <c r="C49" i="59" s="1"/>
  <c r="F49" i="59"/>
  <c r="H29" i="59"/>
  <c r="B17" i="59"/>
  <c r="B29" i="59" s="1"/>
  <c r="B30" i="59" s="1"/>
  <c r="I30" i="59"/>
  <c r="G30" i="56"/>
  <c r="I19" i="56"/>
  <c r="I29" i="56" s="1"/>
  <c r="H19" i="56"/>
  <c r="H29" i="56" s="1"/>
  <c r="F31" i="56"/>
  <c r="E44" i="56"/>
  <c r="C50" i="56" s="1"/>
  <c r="F50" i="56"/>
  <c r="F43" i="56"/>
  <c r="E51" i="56" s="1"/>
  <c r="C43" i="41"/>
  <c r="C47" i="41" s="1"/>
  <c r="H30" i="53"/>
  <c r="H31" i="53" s="1"/>
  <c r="B28" i="53"/>
  <c r="E32" i="53"/>
  <c r="F49" i="53"/>
  <c r="D44" i="53"/>
  <c r="C49" i="53" s="1"/>
  <c r="E50" i="53"/>
  <c r="F43" i="53"/>
  <c r="I25" i="53"/>
  <c r="I30" i="53" s="1"/>
  <c r="B25" i="53"/>
  <c r="C45" i="50"/>
  <c r="C49" i="50" s="1"/>
  <c r="E44" i="50"/>
  <c r="E51" i="50" s="1"/>
  <c r="F49" i="50"/>
  <c r="F31" i="50"/>
  <c r="I19" i="50"/>
  <c r="H19" i="50"/>
  <c r="G28" i="50"/>
  <c r="G30" i="50" s="1"/>
  <c r="F47" i="41"/>
  <c r="D31" i="41"/>
  <c r="D43" i="41" s="1"/>
  <c r="C48" i="41" s="1"/>
  <c r="E42" i="41"/>
  <c r="E49" i="41" s="1"/>
  <c r="H29" i="41"/>
  <c r="F30" i="41"/>
  <c r="G30" i="41"/>
  <c r="I27" i="41"/>
  <c r="B27" i="41" s="1"/>
  <c r="I20" i="41"/>
  <c r="B20" i="41" s="1"/>
  <c r="B24" i="41"/>
  <c r="D30" i="5"/>
  <c r="C30" i="5"/>
  <c r="H26" i="5"/>
  <c r="H28" i="5" s="1"/>
  <c r="H29" i="5" s="1"/>
  <c r="E50" i="5"/>
  <c r="D45" i="5"/>
  <c r="E44" i="53" l="1"/>
  <c r="C50" i="53" s="1"/>
  <c r="E32" i="50"/>
  <c r="F32" i="50" s="1"/>
  <c r="F52" i="50" s="1"/>
  <c r="D45" i="50"/>
  <c r="C50" i="50" s="1"/>
  <c r="F50" i="50"/>
  <c r="F49" i="62"/>
  <c r="E57" i="62" s="1"/>
  <c r="I31" i="62"/>
  <c r="B31" i="62" s="1"/>
  <c r="G36" i="62"/>
  <c r="I33" i="62"/>
  <c r="B33" i="62" s="1"/>
  <c r="F56" i="62"/>
  <c r="E50" i="62"/>
  <c r="C56" i="62" s="1"/>
  <c r="I25" i="62"/>
  <c r="B25" i="62" s="1"/>
  <c r="F37" i="62"/>
  <c r="H35" i="62"/>
  <c r="G43" i="59"/>
  <c r="C51" i="59" s="1"/>
  <c r="F51" i="59"/>
  <c r="H42" i="59"/>
  <c r="H30" i="59"/>
  <c r="H31" i="59" s="1"/>
  <c r="I30" i="56"/>
  <c r="H30" i="56"/>
  <c r="F44" i="56"/>
  <c r="C51" i="56" s="1"/>
  <c r="F51" i="56"/>
  <c r="G31" i="56"/>
  <c r="B19" i="56"/>
  <c r="B29" i="56" s="1"/>
  <c r="B30" i="56" s="1"/>
  <c r="G43" i="56"/>
  <c r="E52" i="56" s="1"/>
  <c r="B30" i="53"/>
  <c r="B31" i="53" s="1"/>
  <c r="F32" i="53"/>
  <c r="F50" i="53"/>
  <c r="I31" i="53"/>
  <c r="E51" i="53"/>
  <c r="G43" i="53"/>
  <c r="F51" i="50"/>
  <c r="F44" i="50"/>
  <c r="E52" i="50" s="1"/>
  <c r="I28" i="50"/>
  <c r="I30" i="50" s="1"/>
  <c r="H28" i="50"/>
  <c r="H30" i="50" s="1"/>
  <c r="G31" i="50"/>
  <c r="B19" i="50"/>
  <c r="F48" i="41"/>
  <c r="E31" i="41"/>
  <c r="F31" i="41" s="1"/>
  <c r="I29" i="41"/>
  <c r="I30" i="41" s="1"/>
  <c r="B29" i="41"/>
  <c r="B30" i="41" s="1"/>
  <c r="F42" i="41"/>
  <c r="H30" i="41"/>
  <c r="E51" i="5"/>
  <c r="E45" i="5"/>
  <c r="C46" i="5"/>
  <c r="C50" i="5" s="1"/>
  <c r="F50" i="5"/>
  <c r="E30" i="5"/>
  <c r="B32" i="5" s="1"/>
  <c r="D46" i="5"/>
  <c r="C51" i="5" s="1"/>
  <c r="F51" i="5"/>
  <c r="I26" i="5"/>
  <c r="I28" i="5" s="1"/>
  <c r="I29" i="5" s="1"/>
  <c r="G44" i="50" l="1"/>
  <c r="E53" i="50" s="1"/>
  <c r="H31" i="56"/>
  <c r="F53" i="56" s="1"/>
  <c r="F44" i="53"/>
  <c r="C51" i="53" s="1"/>
  <c r="E45" i="50"/>
  <c r="C51" i="50" s="1"/>
  <c r="G32" i="50"/>
  <c r="F53" i="50" s="1"/>
  <c r="F45" i="50"/>
  <c r="C52" i="50" s="1"/>
  <c r="G49" i="62"/>
  <c r="E58" i="62" s="1"/>
  <c r="I35" i="62"/>
  <c r="I36" i="62" s="1"/>
  <c r="B35" i="62"/>
  <c r="B36" i="62" s="1"/>
  <c r="H36" i="62"/>
  <c r="F57" i="62"/>
  <c r="F50" i="62"/>
  <c r="C57" i="62" s="1"/>
  <c r="G37" i="62"/>
  <c r="H43" i="59"/>
  <c r="C52" i="59" s="1"/>
  <c r="F52" i="59"/>
  <c r="E52" i="59"/>
  <c r="I42" i="59"/>
  <c r="E53" i="59" s="1"/>
  <c r="B36" i="59" s="1"/>
  <c r="I31" i="59"/>
  <c r="G44" i="56"/>
  <c r="C52" i="56" s="1"/>
  <c r="F52" i="56"/>
  <c r="H43" i="56"/>
  <c r="F51" i="53"/>
  <c r="G32" i="53"/>
  <c r="G44" i="53" s="1"/>
  <c r="C52" i="53" s="1"/>
  <c r="E52" i="53"/>
  <c r="H43" i="53"/>
  <c r="I31" i="50"/>
  <c r="B28" i="50"/>
  <c r="B30" i="50" s="1"/>
  <c r="B31" i="50" s="1"/>
  <c r="H31" i="50"/>
  <c r="G31" i="41"/>
  <c r="H31" i="41" s="1"/>
  <c r="F50" i="41"/>
  <c r="E43" i="41"/>
  <c r="C49" i="41" s="1"/>
  <c r="F49" i="41"/>
  <c r="F43" i="41"/>
  <c r="C50" i="41" s="1"/>
  <c r="E50" i="41"/>
  <c r="G42" i="41"/>
  <c r="B26" i="5"/>
  <c r="B28" i="5" s="1"/>
  <c r="B29" i="5" s="1"/>
  <c r="E46" i="5"/>
  <c r="C52" i="5" s="1"/>
  <c r="F52" i="5"/>
  <c r="F30" i="5"/>
  <c r="E52" i="5"/>
  <c r="F45" i="5"/>
  <c r="H44" i="50" l="1"/>
  <c r="E54" i="50" s="1"/>
  <c r="G45" i="50"/>
  <c r="C53" i="50" s="1"/>
  <c r="I31" i="56"/>
  <c r="F54" i="56" s="1"/>
  <c r="B37" i="56" s="1"/>
  <c r="H32" i="50"/>
  <c r="F54" i="50" s="1"/>
  <c r="H49" i="62"/>
  <c r="H37" i="62"/>
  <c r="I37" i="62" s="1"/>
  <c r="F58" i="62"/>
  <c r="G50" i="62"/>
  <c r="C58" i="62" s="1"/>
  <c r="I43" i="59"/>
  <c r="C53" i="59" s="1"/>
  <c r="F53" i="59"/>
  <c r="B37" i="59" s="1"/>
  <c r="E53" i="56"/>
  <c r="I43" i="56"/>
  <c r="E54" i="56" s="1"/>
  <c r="B36" i="56" s="1"/>
  <c r="H44" i="56"/>
  <c r="C53" i="56" s="1"/>
  <c r="F51" i="41"/>
  <c r="F52" i="53"/>
  <c r="H32" i="53"/>
  <c r="E53" i="53"/>
  <c r="I43" i="53"/>
  <c r="G43" i="41"/>
  <c r="C51" i="41" s="1"/>
  <c r="I31" i="41"/>
  <c r="F53" i="41" s="1"/>
  <c r="B37" i="41" s="1"/>
  <c r="F52" i="41"/>
  <c r="E51" i="41"/>
  <c r="H42" i="41"/>
  <c r="F46" i="5"/>
  <c r="C53" i="5" s="1"/>
  <c r="F53" i="5"/>
  <c r="G30" i="5"/>
  <c r="E53" i="5"/>
  <c r="G45" i="5"/>
  <c r="I32" i="50" l="1"/>
  <c r="I44" i="50"/>
  <c r="E55" i="50" s="1"/>
  <c r="B37" i="50" s="1"/>
  <c r="H45" i="50"/>
  <c r="C54" i="50" s="1"/>
  <c r="E59" i="62"/>
  <c r="I49" i="62"/>
  <c r="E60" i="62" s="1"/>
  <c r="B42" i="62" s="1"/>
  <c r="F60" i="62"/>
  <c r="B43" i="62" s="1"/>
  <c r="H50" i="62"/>
  <c r="C59" i="62" s="1"/>
  <c r="F59" i="62"/>
  <c r="C14" i="46"/>
  <c r="B35" i="59"/>
  <c r="I44" i="56"/>
  <c r="C54" i="56" s="1"/>
  <c r="F53" i="53"/>
  <c r="I32" i="53"/>
  <c r="H44" i="53"/>
  <c r="C53" i="53" s="1"/>
  <c r="E54" i="53"/>
  <c r="B37" i="53" s="1"/>
  <c r="F55" i="50"/>
  <c r="B38" i="50" s="1"/>
  <c r="E52" i="41"/>
  <c r="I42" i="41"/>
  <c r="H43" i="41"/>
  <c r="C52" i="41" s="1"/>
  <c r="F54" i="5"/>
  <c r="H30" i="5"/>
  <c r="G46" i="5"/>
  <c r="C54" i="5" s="1"/>
  <c r="H45" i="5"/>
  <c r="E54" i="5"/>
  <c r="F54" i="53" l="1"/>
  <c r="B38" i="53" s="1"/>
  <c r="I45" i="50"/>
  <c r="C55" i="50" s="1"/>
  <c r="C11" i="46" s="1"/>
  <c r="I50" i="62"/>
  <c r="C60" i="62" s="1"/>
  <c r="B41" i="62" s="1"/>
  <c r="B35" i="56"/>
  <c r="C13" i="46"/>
  <c r="I44" i="53"/>
  <c r="C54" i="53" s="1"/>
  <c r="B36" i="53" s="1"/>
  <c r="B36" i="50"/>
  <c r="E53" i="41"/>
  <c r="B36" i="41" s="1"/>
  <c r="I43" i="41"/>
  <c r="C53" i="41" s="1"/>
  <c r="B35" i="41" s="1"/>
  <c r="E55" i="5"/>
  <c r="I45" i="5"/>
  <c r="E56" i="5" s="1"/>
  <c r="B35" i="5" s="1"/>
  <c r="H46" i="5"/>
  <c r="C55" i="5" s="1"/>
  <c r="F55" i="5"/>
  <c r="I30" i="5"/>
  <c r="C15" i="46" l="1"/>
  <c r="C12" i="46"/>
  <c r="C10" i="46"/>
  <c r="F56" i="5"/>
  <c r="B36" i="5" s="1"/>
  <c r="I46" i="5"/>
  <c r="C56" i="5" s="1"/>
  <c r="C9" i="46" l="1"/>
  <c r="B34" i="5"/>
</calcChain>
</file>

<file path=xl/sharedStrings.xml><?xml version="1.0" encoding="utf-8"?>
<sst xmlns="http://schemas.openxmlformats.org/spreadsheetml/2006/main" count="1460" uniqueCount="538">
  <si>
    <t>Treatment year (from year of last reconstruction)</t>
  </si>
  <si>
    <t>Reconstruction</t>
  </si>
  <si>
    <t>Cost per lane mile</t>
  </si>
  <si>
    <t>Average</t>
  </si>
  <si>
    <t>Routine Maintenance Costs</t>
  </si>
  <si>
    <t>LCM Costs</t>
  </si>
  <si>
    <t>MnDOT's annual O&amp;M Budget</t>
  </si>
  <si>
    <t>Total lane miles owned by MnDOT</t>
  </si>
  <si>
    <t>Annual</t>
  </si>
  <si>
    <t>Inflation Risk</t>
  </si>
  <si>
    <t>Inflation rate</t>
  </si>
  <si>
    <t>Rate of revenue increase</t>
  </si>
  <si>
    <t>Difference in %</t>
  </si>
  <si>
    <t>Difference in $/lane mile</t>
  </si>
  <si>
    <t>Tort Claims Risk</t>
  </si>
  <si>
    <t>Tort Claims per year</t>
  </si>
  <si>
    <t>Tort claims /year/lane mile</t>
  </si>
  <si>
    <t>Immediate Transfer Cost</t>
  </si>
  <si>
    <t>Average from detailed analysis</t>
  </si>
  <si>
    <t>Road Value</t>
  </si>
  <si>
    <t>Total GASB 34 valuation</t>
  </si>
  <si>
    <t>Value per lane mile</t>
  </si>
  <si>
    <t>Opportunity Cost</t>
  </si>
  <si>
    <t>Toll opportunity</t>
  </si>
  <si>
    <t>Advertising and other revenue opportunity</t>
  </si>
  <si>
    <t>Total</t>
  </si>
  <si>
    <t>Total Benefits</t>
  </si>
  <si>
    <t>Total Costs</t>
  </si>
  <si>
    <t>Crack Fill</t>
  </si>
  <si>
    <t>Chip Seal</t>
  </si>
  <si>
    <t>Rehab</t>
  </si>
  <si>
    <t>Source</t>
  </si>
  <si>
    <t>Based on MnDOT JRP Analysis, lane miles transferred from the state</t>
  </si>
  <si>
    <t>Total Road Value: $9,498,542,542 (for entire state road network)</t>
  </si>
  <si>
    <t>Converted to state-owned using .11 conversion ratio (based on lane miles calculations)</t>
  </si>
  <si>
    <t>State-Owned Road Value: $1,044,839,680</t>
  </si>
  <si>
    <t>From MnDOT Financial Management and Legislative Briefing, http://www.dot.state.mn.us/funding/financial-management-legislative-brief.pdf</t>
  </si>
  <si>
    <r>
      <t xml:space="preserve">Source: </t>
    </r>
    <r>
      <rPr>
        <sz val="11"/>
        <color theme="1"/>
        <rFont val="Calibri"/>
        <family val="2"/>
      </rPr>
      <t>MnDOT Pavement Selection LCCA, 2013, supplied by Tim Anderson, Pavement Design Engineer (651-366-5455, timothy.lee.andersen@state.mn.us)</t>
    </r>
  </si>
  <si>
    <t>Data based on FHWA 2011 HPMS Lane Mile Report (http://www.fhwa.dot.gov/policyinformation/statistics/2012/hm60.cfm), calculated state-owned lane miles based on centerline miles owned by the state (reported in MnDOT JRP Analysis)</t>
  </si>
  <si>
    <t>Construction Inflation Projections for SFY 2015 - 2024, supplied by John Wilson (651-366-3732, john.wilson@state.mn.us)</t>
  </si>
  <si>
    <t>Data supplied by Janelle Anderson (651-234-7388), reported as $69,526 for a 3 year period (2010-2012) (converted to annual cost), paid 107 claims from 929 that were filed during that 3-yr period</t>
  </si>
  <si>
    <t>Based on data provided by Gerald Wood, Accounting Director (email forwarded from John Wilson, did not speak with Gerald) - 2011 data reported for GASB 34</t>
  </si>
  <si>
    <t>Breakeven Year, not accounting for qualitative benefits</t>
  </si>
  <si>
    <t>Year 1</t>
  </si>
  <si>
    <t>Year 2</t>
  </si>
  <si>
    <t>Year 3</t>
  </si>
  <si>
    <t>Year 4</t>
  </si>
  <si>
    <t>Year 5</t>
  </si>
  <si>
    <t>Year 6</t>
  </si>
  <si>
    <t>Year 7</t>
  </si>
  <si>
    <t>Pre-implementation planning consultant</t>
  </si>
  <si>
    <t>COTS software licenses</t>
  </si>
  <si>
    <t>COTS software maintenance</t>
  </si>
  <si>
    <t>Systems integration services</t>
  </si>
  <si>
    <t xml:space="preserve">Managed services support </t>
  </si>
  <si>
    <t>Hardware and other technical infrastructure</t>
  </si>
  <si>
    <t>Hardware and infrastructure maintenance</t>
  </si>
  <si>
    <t>Agency staff cost during project</t>
  </si>
  <si>
    <t>Systems integration services for upgrade</t>
  </si>
  <si>
    <t>Agency staff cost to support system ongoing</t>
  </si>
  <si>
    <t>Part B. Costs</t>
  </si>
  <si>
    <t>FHWA Addressing the Challenge and the Return on Investment for Paperless Project Delivery (e-Construction)</t>
  </si>
  <si>
    <t>Total cost (paper, toner, processing, storage) per page</t>
  </si>
  <si>
    <t>Reduction in claims</t>
  </si>
  <si>
    <t>Reduced use of paper, printing, mailing, faxing, scanning</t>
  </si>
  <si>
    <t># of inspectors</t>
  </si>
  <si>
    <t>Time to travel offsite to office to submit documentation</t>
  </si>
  <si>
    <t>Time to search for content</t>
  </si>
  <si>
    <t>Information Technology Staff (Implementation)</t>
  </si>
  <si>
    <t>Contracts and Specifications Engineer (Implementation)</t>
  </si>
  <si>
    <t>Information Technology Staff (Ongoing Support)</t>
  </si>
  <si>
    <t>IT Implementation (2 @ 25%)</t>
  </si>
  <si>
    <t>IT Ongoing Support (1 @ 33%)</t>
  </si>
  <si>
    <t>Construction Field Staff (2 @ 25%) for Implementation</t>
  </si>
  <si>
    <t>Design (4 @ 25%) for Implementation</t>
  </si>
  <si>
    <t>Average Annual Cost</t>
  </si>
  <si>
    <t>Eliminated use of paper, printing, mailing, faxing, scanning and reduced paper storage requirements</t>
  </si>
  <si>
    <t>Increase in the overall efficiency and effectiveness of the delivery of the agency's construction program by streamlining and standardizing key processes (e.g., faster review and approvals)</t>
  </si>
  <si>
    <t>On-site training/web-based training</t>
  </si>
  <si>
    <t>Conversion of existing paper documents to electronic documents (scanning)</t>
  </si>
  <si>
    <t>Construction Central Office Staff (2 @ 25%) for Implementation</t>
  </si>
  <si>
    <t>Additional contracting cost</t>
  </si>
  <si>
    <t>Additional benefit to digital review process through use of mobile devices</t>
  </si>
  <si>
    <t>Additional benefit to project collaboration through use of mobile devices</t>
  </si>
  <si>
    <t>Additional benefit to project construction management through use of mobile devices</t>
  </si>
  <si>
    <t>Pre-implementation planning consultant: General</t>
  </si>
  <si>
    <t>Benefit</t>
  </si>
  <si>
    <t>Cost saving for quantity take-off and other analysis activities</t>
  </si>
  <si>
    <t>Time savings during PS&amp;E review/comments</t>
  </si>
  <si>
    <t>Preconstruction Staff (Training)</t>
  </si>
  <si>
    <t>Preconstruction Staff (Implementation)</t>
  </si>
  <si>
    <t>Electronic bidding and contract award</t>
  </si>
  <si>
    <t>Digital review of project documents</t>
  </si>
  <si>
    <t>Project collaboration</t>
  </si>
  <si>
    <t>Mobile devices (for daily inspection)</t>
  </si>
  <si>
    <t>1 Year</t>
  </si>
  <si>
    <t>2 Years</t>
  </si>
  <si>
    <t>3 Years</t>
  </si>
  <si>
    <t>4 Years</t>
  </si>
  <si>
    <t>5 Years</t>
  </si>
  <si>
    <t>6 Years</t>
  </si>
  <si>
    <t>7 Years</t>
  </si>
  <si>
    <t>Cumulative Cost</t>
  </si>
  <si>
    <t>Blended staff for training</t>
  </si>
  <si>
    <t xml:space="preserve">                </t>
  </si>
  <si>
    <t>FTE hourly salary</t>
  </si>
  <si>
    <t>Average length of each project (in weeks)</t>
  </si>
  <si>
    <t># of hours saved for quantity take-off and other analysis activities</t>
  </si>
  <si>
    <t>Annual construction program (in $)</t>
  </si>
  <si>
    <t># of projects bid per year</t>
  </si>
  <si>
    <t># of eliminated pages printed per project</t>
  </si>
  <si>
    <t>Estimated time savings from searching for content per daily inspection report (in hours)</t>
  </si>
  <si>
    <t>Estimated time savings from traveling offsite to the office to submit documentation per daily inspection report (in hours)</t>
  </si>
  <si>
    <t>% of estimated annual savings from non-responsive low bids due to math or clerical errors</t>
  </si>
  <si>
    <t>Total cost (paper, toner, processing, storage) per page ($)</t>
  </si>
  <si>
    <t>Annual construction program ($)</t>
  </si>
  <si>
    <t>Total cost per page ($)</t>
  </si>
  <si>
    <t>Total value of claims processed annually ($)</t>
  </si>
  <si>
    <t>Total value of change orders processed annually ($)</t>
  </si>
  <si>
    <t># of completed projects accessed per year</t>
  </si>
  <si>
    <t># of total projects per year</t>
  </si>
  <si>
    <t>Average hourly pay rate ($)</t>
  </si>
  <si>
    <t># of work days per week</t>
  </si>
  <si>
    <t># of weeks of construction season</t>
  </si>
  <si>
    <t># of hours reduced to verify as-builts as submitted by the contractor (in hours)</t>
  </si>
  <si>
    <t># of hours reduced to retrieve project data (in hours)</t>
  </si>
  <si>
    <t>Increase in the overall efficiency and effectiveness of the delivery of the agency’s construction program by streamlining and standardizing key processes (e.g., faster review and approvals)</t>
  </si>
  <si>
    <t>Description</t>
  </si>
  <si>
    <t>e-Construction Opportunity</t>
  </si>
  <si>
    <t>Includes bid submittal, bid acceptance and review by agency, and contract award through an electronic system. While a majority of state transportation departments already accept electronic bid submittals, some steps (e.g., bid review or selection) are still manual. The primary benefits are quicker and more accurate bids due to electronic/automated checking of formulas and real-time submittal.</t>
  </si>
  <si>
    <t>Digital plans, specifications, and estimates</t>
  </si>
  <si>
    <t xml:space="preserve">Digital documents (i.e. plan-sheets and contract books) that can be signed, and/or sealed electronically. Plan-sheets are typically created from CAD software and exported to PDF. Other types of digital data may include 3D design models, which can be provided as a supplement to the signed and sealed contract documents or as contractual documents. 3D design models enable the use of quantity take-offs during bidding, the use of AMG construction methods, and quantity verification and measurements during construction. Digital documents enable other paperless processes, such as electronic bidding and digital project review. </t>
  </si>
  <si>
    <t>Tools that allow the review and markup of electronic documents in real-time. This includes digital review of PDF documents, where PDFs are marked up and then transmitted to a different user for comments, either through software or an email. Digital review reduces or eliminates the time to distribute paper, and when used on mobile devices, can allow staff to both access and review information faster.</t>
  </si>
  <si>
    <t>Project construction management</t>
  </si>
  <si>
    <t>An electronic system that will handle contract administration (e.g. monitoring contract progress, receive payment, generate status reports, and provide reference data for vendors and subcontractors), payroll and contractor payments review, documentation of project data and records, project reporting, tracking of materials and daily field activities, integration of material and lab administration, and project close-out. A construction management system allows members of the project to both enter and retrieve information faster and more efficiently compared to a paper-based process.</t>
  </si>
  <si>
    <t xml:space="preserve">Includes document sharing, collaboration, and submission throughout the life of the project using a project collaboration tool that can be accessed by all parties involved on a construction project. </t>
  </si>
  <si>
    <t>Requirement of digital as-builts</t>
  </si>
  <si>
    <t>Requirement for contractors to provide digital as-builts (3D data collected from geospatial technology) at the time of project acceptance. This will allow agencies to keep more accurate and electronic records, enabling easier access to information for rehabilitation, reconstruction and overall management of these assets. Current standard practice is to electronically red-line the plan sheets in PDF format.</t>
  </si>
  <si>
    <t>Mobile devices assist in both retrieving and collecting various data electronically on site. They should be used in conjunction with other improvement opportunities identified, such as digital access to/review of plans, specifications and other information, inspection data tracking and entering, recording field activities in the construction management system, and faster communication (e.g., video conferencing to tap into staff with expertise that is located in other offices).</t>
  </si>
  <si>
    <t>Estimated savings resulting from non-responsive low bids due to math or clerical errors.</t>
  </si>
  <si>
    <t>Estimated savings resulting from improved workforce utilization</t>
  </si>
  <si>
    <t>Agency staff cost during implementation</t>
  </si>
  <si>
    <t>Information Technology or/and CADD Staff (Implementation)</t>
  </si>
  <si>
    <t># of eliminated pages printed per contract (average)</t>
  </si>
  <si>
    <t>Improvement Opportunity</t>
  </si>
  <si>
    <t>Total cost (paper, toner, processing, storage) per page ($) for plan sheets</t>
  </si>
  <si>
    <t>Hourly rate for staff (fully loaded)</t>
  </si>
  <si>
    <t># of hours saved by staff in bid data entry, evaluation, reporting and verification/validation</t>
  </si>
  <si>
    <t>Benefit Cost Analysis Inputs</t>
  </si>
  <si>
    <t>State</t>
  </si>
  <si>
    <t>Estimated Annual Construction Program Size ($)</t>
  </si>
  <si>
    <t>Hardware replacement/updates</t>
  </si>
  <si>
    <t>Total (Implementation)</t>
  </si>
  <si>
    <t>Annual Ongoing Support</t>
  </si>
  <si>
    <t>Benefit Cost Analysis Calculations</t>
  </si>
  <si>
    <t>TO BE HIDDEN</t>
  </si>
  <si>
    <t>As of Year</t>
  </si>
  <si>
    <t># of eliminated plan sheets printed per project/contract</t>
  </si>
  <si>
    <t># of eliminated pages printed per project/contract - specifications</t>
  </si>
  <si>
    <t># of design contracts per year</t>
  </si>
  <si>
    <t># of hours saved per design contract  for PS&amp;E review/comments</t>
  </si>
  <si>
    <t># of projects per year</t>
  </si>
  <si>
    <t>ROI</t>
  </si>
  <si>
    <t>Years</t>
  </si>
  <si>
    <t xml:space="preserve">Increase in the overall efficiency and effectiveness of the delivery of the agency’s construction program by streamlining and standardizing key processes (e.g., faster review and approvals) and integration of material testing and laboratory functions. </t>
  </si>
  <si>
    <t>Reduction in change orders</t>
  </si>
  <si>
    <t>California</t>
  </si>
  <si>
    <t>Florida</t>
  </si>
  <si>
    <t>Virginia</t>
  </si>
  <si>
    <t>Washington</t>
  </si>
  <si>
    <t>Pennsylvania</t>
  </si>
  <si>
    <t>Ohio</t>
  </si>
  <si>
    <t>Massachusetts</t>
  </si>
  <si>
    <t>Connecticut</t>
  </si>
  <si>
    <t>Michigan</t>
  </si>
  <si>
    <t>Louisiana</t>
  </si>
  <si>
    <t>Iowa</t>
  </si>
  <si>
    <t>Kentucky</t>
  </si>
  <si>
    <t>Kansas</t>
  </si>
  <si>
    <t>Utah</t>
  </si>
  <si>
    <t>North Dakota</t>
  </si>
  <si>
    <t>Colorado</t>
  </si>
  <si>
    <t>Alabama</t>
  </si>
  <si>
    <t>Missouri</t>
  </si>
  <si>
    <t>Arkansas</t>
  </si>
  <si>
    <t>Nebraska</t>
  </si>
  <si>
    <t>West Virginia</t>
  </si>
  <si>
    <t>Oregon</t>
  </si>
  <si>
    <t>Vermont</t>
  </si>
  <si>
    <t>New Hampshire</t>
  </si>
  <si>
    <t>Time savings per week on project through more efficient reviews</t>
  </si>
  <si>
    <t>Average project length (duration) in weeks</t>
  </si>
  <si>
    <t>Support Staff</t>
  </si>
  <si>
    <t>Digital management of construction documentation using a project collaboration tool</t>
  </si>
  <si>
    <t xml:space="preserve">Requirement of digital as-builts </t>
  </si>
  <si>
    <t xml:space="preserve">Mobile devices </t>
  </si>
  <si>
    <t># of hours saved each week (per person) per project through improved efficiency and effectiveness</t>
  </si>
  <si>
    <t>Reduction/avoidance in annual claims due to more comprehensive project documentation</t>
  </si>
  <si>
    <t>Reduction in change orders annually (%)</t>
  </si>
  <si>
    <t>Construction staff (implementation)</t>
  </si>
  <si>
    <t>Materials staff (implementation)</t>
  </si>
  <si>
    <t>Laboratory (implementation)</t>
  </si>
  <si>
    <t>Information Technology (implementation)</t>
  </si>
  <si>
    <t>Finance (implementation)</t>
  </si>
  <si>
    <t>Information Technology (ongoing support)</t>
  </si>
  <si>
    <t>Net Benefit (positive indicates benefit)</t>
  </si>
  <si>
    <t>Cumulative Benefit</t>
  </si>
  <si>
    <t>Average Annual Net Benefit</t>
  </si>
  <si>
    <t>Benefit (positive indicates benefit)</t>
  </si>
  <si>
    <t># of hours saved each week by project staff</t>
  </si>
  <si>
    <t>This is assumed to be the average fully loaded salary of all staff members involved.</t>
  </si>
  <si>
    <t>Eliminated use of paper, printing, mailing, faxing, scanning, and reduced paper storage requirements</t>
  </si>
  <si>
    <t>Number of agency staff members working on a project (average)</t>
  </si>
  <si>
    <t>Number of agency staff members working on project (average)</t>
  </si>
  <si>
    <t>Reduced time to verify as-builts</t>
  </si>
  <si>
    <t>Estimated time savings from entering data on mobile device vs. recording on paper and then entering on a computer (in hours)</t>
  </si>
  <si>
    <t>Additional benefit to digital review process through use of mobile devices (% of annual construction program)</t>
  </si>
  <si>
    <t>Additional benefit to project collaboration through use of mobile devices (% of annual construction program)</t>
  </si>
  <si>
    <t>Additional benefit to project construction management through use of mobile devices (% of annual construction program)</t>
  </si>
  <si>
    <t>Information Technology Staff (ongoing support)</t>
  </si>
  <si>
    <t>Construction Field Staff</t>
  </si>
  <si>
    <t>Construction Office Staff</t>
  </si>
  <si>
    <t>Pre-implementation planning consultant: Digital review (Optional)</t>
  </si>
  <si>
    <t>Pre-implementation planning consultant: Project collaboration (Optional)</t>
  </si>
  <si>
    <t>Pre-implementation planning consultant: Project construction management (Optional)</t>
  </si>
  <si>
    <t>Integration Opportunities</t>
  </si>
  <si>
    <t>Breakeven Year (From start of project planning)</t>
  </si>
  <si>
    <t>7-Year ROI
(Rounded to nearest quarter)</t>
  </si>
  <si>
    <t xml:space="preserve">
</t>
  </si>
  <si>
    <t>Use of a common database for the complete project delivery process to reduce data entry, ensure more complete and accurate project data, increase efficiency of information retrieval, and provide data for analysis, reporting, and management reporting.</t>
  </si>
  <si>
    <t>Integrating the pre-construction management system with the electronic bidding tool to seamlessly upload bid materials to the agency’s electronic bidding tool.</t>
  </si>
  <si>
    <t>Use of electronic bidding and digital signatures by contractors to submit bids, and subsequently by the agency to review bid data (including verifying bid bonds) and conducting bid analysis.</t>
  </si>
  <si>
    <t xml:space="preserve">Integration of construction data into the agency project management system to allow for agency wide views of all projects information including budgets, expenditures, commitments, status, schedule and other key project metrics.  </t>
  </si>
  <si>
    <t>Integration with federal systems for FHWA project authorizations and modifications</t>
  </si>
  <si>
    <t>Managing contract administration, contract records, daily work reports, contractor payments, materials management, and laboratory inventory management using the project construction management system. The project construction management system should have workflows built in to ensure seamless document routing.</t>
  </si>
  <si>
    <t>Use of a project collaboration tool to effectively manage all contract documents (including the ones listed above in the construction management system).</t>
  </si>
  <si>
    <t>Use of the construction management system to conduct the final close-out process (including final acceptance), confirm all approvals and signatures are in place, send the project for final payment to financial and accounting systems.</t>
  </si>
  <si>
    <t>Inputs</t>
  </si>
  <si>
    <t>BCA</t>
  </si>
  <si>
    <t>Timeline</t>
  </si>
  <si>
    <t>Worksheet Tab</t>
  </si>
  <si>
    <t>The tab provides a general timeline for deploying the specific e-Construction opportunity. There is no user input on this tab.</t>
  </si>
  <si>
    <t>Table 1. Description of worksheet tabs used in the ROI template.</t>
  </si>
  <si>
    <t>These benefits result from implementing multiple opportunities and integrating the systems to obtain additional benefits.</t>
  </si>
  <si>
    <t>Enter the cost for consultant support to help with the pre-implementation planning.</t>
  </si>
  <si>
    <t>The pre-populated values assume that the software is acquired through the Software as a Service (SaaS) model, and all payments are in real dollars (escalation in cost will be consistent with the inflation rate).</t>
  </si>
  <si>
    <t>Enter the cost for hardware and necessary software maintenance (applicable in an on-premise installation).</t>
  </si>
  <si>
    <t>The staff costs here are based on inputs in Table 3. Based on the general implementation timeline, we have assumed that support will start in year 2.</t>
  </si>
  <si>
    <r>
      <t xml:space="preserve">Improvement Opportunity Area: Electronic Bidding and Contract Award
</t>
    </r>
    <r>
      <rPr>
        <sz val="12"/>
        <color theme="1"/>
        <rFont val="Calibri"/>
        <family val="2"/>
        <scheme val="minor"/>
      </rPr>
      <t>Includes bid preparation, submittal, acceptance, evaluation, and contract award through an electronic system. Electronic bidding and contract award is among the most mature of e-Construction practices; nevertheless, many state transportation departments are not maximizing the full benefits of this digital process. In many cases, the processes for preparing and evaluating bids are still manual. The primary benefits are quicker and more accurate bids due to electronic/automated checking of formulas and real-time submittal, and the reduction of carbon footprint.</t>
    </r>
  </si>
  <si>
    <r>
      <rPr>
        <b/>
        <sz val="12"/>
        <color theme="1"/>
        <rFont val="Calibri"/>
        <family val="2"/>
        <scheme val="minor"/>
      </rPr>
      <t>Improvement Opportunity Area: Digital Plans, Specifications and Estimates (Pre-construction)</t>
    </r>
    <r>
      <rPr>
        <sz val="12"/>
        <color theme="1"/>
        <rFont val="Calibri"/>
        <family val="2"/>
        <scheme val="minor"/>
      </rPr>
      <t xml:space="preserve">
Refers to the preparation of digital and intelligent PS&amp;E documents during the pre-construction phase including electronic specifications and estimates; and 2D and or 3D digital plan sheets as PDFs generated directly from CADD software. Additionally, it includes the use of these digital intelligent documents to review, collaborate, and approve the bid package during design and advertisement. Lastly, digital PS&amp;E documents may include issuing 3D engineered models as contractual documents during advertisement. 3D design data enables the use of quantity take-offs during bidding, the use of AMG construction methods, and quantity verification and measurements during construction. Digital PS&amp;E documents enable other paperless processes, such as electronic bidding and digital project review. The primary benefits are improved efficiencies due to turn-around time to receive comments during the design phase. The costs and benefits listed in the analysis focus on pre-construction activities only.</t>
    </r>
  </si>
  <si>
    <r>
      <t xml:space="preserve">Improvement Opportunity Area: Project Construction Management
</t>
    </r>
    <r>
      <rPr>
        <sz val="12"/>
        <color theme="3" tint="-0.499984740745262"/>
        <rFont val="Calibri"/>
        <family val="2"/>
        <scheme val="minor"/>
      </rPr>
      <t>Refers to the use of an electronic system that handles contract administration, payroll and contractor payments review, documentation of project data and records, change order approvals, project reporting, tracking of materials and daily field activities, integration of material and lab administration, and project close-out. A construction management system allows members of the project to both enter and retrieve information faster and more efficiently compared to a paper-based process.</t>
    </r>
  </si>
  <si>
    <r>
      <rPr>
        <b/>
        <sz val="12"/>
        <color theme="1"/>
        <rFont val="Calibri"/>
        <family val="2"/>
        <scheme val="minor"/>
      </rPr>
      <t>Improvement Opportunity Area: Mobile Devices</t>
    </r>
    <r>
      <rPr>
        <sz val="12"/>
        <color theme="1"/>
        <rFont val="Calibri"/>
        <family val="2"/>
        <scheme val="minor"/>
      </rPr>
      <t xml:space="preserve">
Includes the use of mobile devices to assist in both collecting and retrieving various data electronically in the field. Like digital signatures, mobile devices are used in combination with other improvement opportunities identified herein (e.g. digital access of PS&amp;E documents, reference materials, and construction management systems). The primary benefits are increased transparency, accessibility, mobility, and communication. </t>
    </r>
  </si>
  <si>
    <t>Linking bid submittal information (e.g., contract unit prices, pay items, etc.) into the construction management system for project initiation.</t>
  </si>
  <si>
    <t>Estimated Annual Savings (O)</t>
  </si>
  <si>
    <t>% of Estimated Annual Savings (I)</t>
  </si>
  <si>
    <t>Annual Construction Program (I)</t>
  </si>
  <si>
    <t>(I)</t>
  </si>
  <si>
    <t>Table 2. Legend for input tabs</t>
  </si>
  <si>
    <t>Table 3. e-Construction opportunities and definitions.</t>
  </si>
  <si>
    <t>Definition</t>
  </si>
  <si>
    <t>(N)</t>
  </si>
  <si>
    <t>(O)</t>
  </si>
  <si>
    <t>Abbreviation</t>
  </si>
  <si>
    <r>
      <rPr>
        <b/>
        <sz val="12"/>
        <color theme="1"/>
        <rFont val="Calibri"/>
        <family val="2"/>
        <scheme val="minor"/>
      </rPr>
      <t xml:space="preserve">Improvement Opportunity Area: Electronic Bidding and Contract Award
</t>
    </r>
    <r>
      <rPr>
        <sz val="12"/>
        <color theme="1"/>
        <rFont val="Calibri"/>
        <family val="2"/>
        <scheme val="minor"/>
      </rPr>
      <t>Includes bid preparation, submittal, acceptance, evaluation, and contract award through an electronic system. Electronic bidding and contract award is among the most mature of e-Construction practices; nevertheless, many state transportation departments are not maximizing the full benefits of this digital process. In many cases, the processes for preparing and evaluating bids are still manual. The primary benefits are quicker and more accurate bids due to electronic/automated checking of formulas and real-time submittal, and the reduction of carbon footprint.</t>
    </r>
  </si>
  <si>
    <t>Anticipated Benefits (in $) (O)</t>
  </si>
  <si>
    <t>Annual construction program * % of estimated annual savings from non-responsive low bids.
Assumption is that agency receives no benefits in the year of implementation (year 1), 25% in year 2 (when electronic bidding could be optional), 75% in year 3 and 100% thereafter.</t>
  </si>
  <si>
    <t>Number of bid lettings * Number of hours saved per bid* fully loaded hourly rate</t>
  </si>
  <si>
    <t>Based on a percentage of contracts on which the the lowest bidder is deemed non-responsive due to math or clerical errors. This amount is estimated to be 0.25% of the construction program. Agencies can obtain an estimate of their non-responsive bids from the procurement department.</t>
  </si>
  <si>
    <t xml:space="preserve">This value presents the number of hours that could be diverted to other work instead of evaluating bids (most of which would be done by automated systems).
</t>
  </si>
  <si>
    <t xml:space="preserve">This presents the hourly salary for staff evaluating bids. This number includes overhead costs (fringe benefits).
</t>
  </si>
  <si>
    <t xml:space="preserve">This value is the annual average number of contracts advertised  in the last 12 months. This number can be requested from the Contracts Group
</t>
  </si>
  <si>
    <t>Input (I)</t>
  </si>
  <si>
    <t>Part A. Benefits</t>
  </si>
  <si>
    <t>Total Cost (O)</t>
  </si>
  <si>
    <t>Enter any software maintenance cost that is NOT included in the annual software licensing/subscription. Generally, software maintenance is a percentage of the software license cost in a traditional on-premise installation model (software installed on DOT servers). SaaS generally does not require an additional maintenance fee.</t>
  </si>
  <si>
    <t>Systems integration services includes installing and configuring the software for the agency and integration with existing DOT systems (e.g. cost estimation, project mgmt., &amp; financial). This is typically a line item in the e-bidding solution contract. We have assumed that 80% of the cost will be in year 1 and 20% of the cost will be in year 2 based on the general implementation timeline.</t>
  </si>
  <si>
    <t>This is the cost to manage the services. This is assumed to be included in the software licensing cost.</t>
  </si>
  <si>
    <t>It is assumed here that no additional hardware or updates are required to the technical infrastructure since the software is provided as a service and not hosted on premise (on DOT servers).</t>
  </si>
  <si>
    <t>Enter the cost  for hardware replacement/updates. Hardware is generally upgraded every 3-5 years. You may assume a cost equal to the original hardware and technical infrastructure since the costs are presented in real dollars (today's dollars).</t>
  </si>
  <si>
    <t>Enter the estimate to upgrade the software. Upgrades are assumed to take place every 3 years after original implementation is complete, and cost 15% of the original implementation. This cost accounts for any interface and other changes required in the SaaS model.</t>
  </si>
  <si>
    <t>(Salary + Overhead) * FTE* # of Years (O)</t>
  </si>
  <si>
    <t>Enter the annual construction program. This value can be obtained from the Construction Engineering Office. The annual construction program should include new construction projects and modernization projects.</t>
  </si>
  <si>
    <t xml:space="preserve">• Caltrans (estimated annual construction program size of $ 11.2 b) estimated that non-responsive bids due to clerical or math errors cost Caltrans over $12 million.
• Indiana DOT conducted a cost benefit analysis in 2007 and found that irregular bids cost the agency $2.9 million in FY 2006.  </t>
  </si>
  <si>
    <t>Cost Incurred in Year 1 (I)</t>
  </si>
  <si>
    <t>Cost Incurred in Year 2 (I)</t>
  </si>
  <si>
    <t>Cost Incurred in Year 3 (I)</t>
  </si>
  <si>
    <t>Cost Incurred in Year 4 (I)</t>
  </si>
  <si>
    <t>Cost Incurred in Year 6 (I)</t>
  </si>
  <si>
    <t>Cost Incurred in Year 7 (I)</t>
  </si>
  <si>
    <t>Reduced or eliminated incomplete or irregular bids due to electronic bidding validation as responses are prepared
Electronic bids can be submitted up to the last minute before bid opening, allowing contractors to spend more time on developing the most competitive responses to bids, which can lead to savings on project costs for the DOT. 
Reduced risk for error (including data entry errors, lost documentation, and reduced errors in bid submittals, etc.) allowing DOTs to award more bids to the lowest bidder.
Prospective bidders no longer have to carry around bid documents since the information is now available online.</t>
  </si>
  <si>
    <r>
      <rPr>
        <b/>
        <sz val="12"/>
        <color theme="1"/>
        <rFont val="Calibri"/>
        <family val="2"/>
        <scheme val="minor"/>
      </rPr>
      <t>Improvement Opportunity Area: Electronic Bidding and Contract Award</t>
    </r>
    <r>
      <rPr>
        <sz val="12"/>
        <color theme="1"/>
        <rFont val="Calibri"/>
        <family val="2"/>
        <scheme val="minor"/>
      </rPr>
      <t xml:space="preserve">
Includes bid preparation, submittal, acceptance, evaluation, and contract award through an electronic system. Electronic bidding and contract award is among the most mature of e-Construction practices; nevertheless, many state transportation departments are not maximizing the full benefits of this digital process. In many cases, the processes for preparing and evaluating bids are still manual. The primary benefits are quicker and more accurate bids due to electronic/automated checking of formulas and real-time submittal, and the reduction of carbon footprint.</t>
    </r>
  </si>
  <si>
    <t xml:space="preserve">FHWA Addressing the Challenge and the Return on Investment (ROI) for Paperless Project Delivery (e-Construction) </t>
  </si>
  <si>
    <t xml:space="preserve">FHWA Addressing the Challenge and the Return on Investment (ROI) for Paperless Project Delivery (e-Construction) 
</t>
  </si>
  <si>
    <t>Notes/Assumptions (N)</t>
  </si>
  <si>
    <t>Costs (I)</t>
  </si>
  <si>
    <t>Staff (I)</t>
  </si>
  <si>
    <t>Time (# of Years) (I)</t>
  </si>
  <si>
    <t>FTE (I)</t>
  </si>
  <si>
    <t>Base Salary (I)</t>
  </si>
  <si>
    <t>Overhead Rate (I)</t>
  </si>
  <si>
    <t>FHWA Addressing the Challenge and the Return on Investment (ROI) for Paperless Project Delivery (e-Construction)</t>
  </si>
  <si>
    <t xml:space="preserve">Use of a pre-construction management system to prepare bid materials. Contract language in bid materials would specify the requirements of geospatial data so that there is a common data environment for design, construction, and construction management. </t>
  </si>
  <si>
    <t xml:space="preserve">FHWA Addressing the Challenge and the Return on Investment (ROI) for Paperless Project Delivery (e-Construction)
</t>
  </si>
  <si>
    <t>Seamless Integration Benefits</t>
  </si>
  <si>
    <t xml:space="preserve">Benefit-Cost Analysis (BCA) and ROI Planning Template </t>
  </si>
  <si>
    <t>Implementation Timeline</t>
  </si>
  <si>
    <t>N/A</t>
  </si>
  <si>
    <t>Benefits Dashboard</t>
  </si>
  <si>
    <t>Annual Construction Program Size Data</t>
  </si>
  <si>
    <t>Notes and/or assumptions meant to guide the user. Default notes/assumptions have been provided, but these can be changed based on the agency's assumptions.</t>
  </si>
  <si>
    <t>Benchmark Data (N)</t>
  </si>
  <si>
    <t>Anticipated Benefit Stream (I)</t>
  </si>
  <si>
    <t>Calculation/Assumptions (N)</t>
  </si>
  <si>
    <t>Input Category (I)</t>
  </si>
  <si>
    <t>• Iowa indicated that it reduces the processing time per bid letting by 1.5 days.
• Missouri DOT estimates a savings of 71 FTE-hours/bid letting to process, bid data entry, evaluate, create reports, check bid bonds, etc.
• New Jersey, prior to electronic bidding, contracted a full time person to make paper copies of plan sets for contractors.
• Texas DOT has reduced the time it takes to process electronic bids and post results from approximately 4.5 to 1.5 hours (e-bidding is not mandatory, only  50 to 70 contracts were submitted electronically).
•  Wisconsin DOT estimated that it saves 48 FTE-hours each bid letting through streamlined Internet bidding processes.</t>
  </si>
  <si>
    <t>% of Benefits Realized in Year 1 (I)</t>
  </si>
  <si>
    <t>% of Benefits Realized in Year 2 (I)</t>
  </si>
  <si>
    <t>% of Benefits Realized in Year 3 (I)</t>
  </si>
  <si>
    <t>% of Benefits Realized in Year 4 (I)</t>
  </si>
  <si>
    <t>% of Benefits Realized in Year 5 (I)</t>
  </si>
  <si>
    <t>% of Benefits Realized in Year 6 (I)</t>
  </si>
  <si>
    <t>% of Benefits Realized in Year 7 (I)</t>
  </si>
  <si>
    <t>The staff costs here are based on inputs in Table 3 (in the prior tab). Based on the general implementation timeline, we have assumed that 90% of the cost will be in year 1 and 10% in year 2. This includes time spent by staff to be trained on the new system(s).</t>
  </si>
  <si>
    <t>Table 4. Annual Construction Programs of State DOTs</t>
  </si>
  <si>
    <t>Table 5. Summary of Breakeven Years and ROIs</t>
  </si>
  <si>
    <r>
      <t xml:space="preserve">The input tab </t>
    </r>
    <r>
      <rPr>
        <b/>
        <sz val="12"/>
        <rFont val="Calibri"/>
        <family val="2"/>
        <scheme val="minor"/>
      </rPr>
      <t>is the only place the user enters information</t>
    </r>
    <r>
      <rPr>
        <sz val="12"/>
        <rFont val="Calibri"/>
        <family val="2"/>
        <scheme val="minor"/>
      </rPr>
      <t xml:space="preserve">. This tab has two parts. Part A covers anticipated (quantitative) benefit streams while Part B. covers costs. Cells with the abbreviation (I) are inputs (i.e., unlocked cell that can be edited by the user), cells with the abbreviation (O) are formulas calculated based on the inputs provided (e.g., locked cell that cannot be edited), and cells with the abbreviation (N) are notes and/or assumptions as defined in Table 2 (in the next tab). All values are </t>
    </r>
    <r>
      <rPr>
        <b/>
        <sz val="12"/>
        <rFont val="Calibri"/>
        <family val="2"/>
        <scheme val="minor"/>
      </rPr>
      <t>presented in real dollars (today's dollars)</t>
    </r>
    <r>
      <rPr>
        <sz val="12"/>
        <rFont val="Calibri"/>
        <family val="2"/>
        <scheme val="minor"/>
      </rPr>
      <t xml:space="preserve">. </t>
    </r>
  </si>
  <si>
    <r>
      <t>The BCA tab is the reported calculations based on the information the user enters in the "Input" tab. This tab has</t>
    </r>
    <r>
      <rPr>
        <b/>
        <sz val="12"/>
        <color theme="1"/>
        <rFont val="Calibri"/>
        <family val="2"/>
        <scheme val="minor"/>
      </rPr>
      <t xml:space="preserve"> ONLY ONE user input field</t>
    </r>
    <r>
      <rPr>
        <sz val="12"/>
        <color theme="1"/>
        <rFont val="Calibri"/>
        <family val="2"/>
        <scheme val="minor"/>
      </rPr>
      <t>, which is the ROI timeframe. The template default is seven (7) years, which is a typical timeframe used for implementation of information technology. A shorter timeframe may be selected by the agency based on their analysis approach and unique factors.</t>
    </r>
  </si>
  <si>
    <r>
      <rPr>
        <b/>
        <sz val="12"/>
        <rFont val="Calibri"/>
        <family val="2"/>
        <scheme val="minor"/>
      </rPr>
      <t>Improvement Opportunity Area: Digital Plans, Specifications and Estimates (Pre-construction)</t>
    </r>
    <r>
      <rPr>
        <sz val="12"/>
        <rFont val="Calibri"/>
        <family val="2"/>
        <scheme val="minor"/>
      </rPr>
      <t xml:space="preserve">
Refers to the preparation of digital and intelligent PS&amp;E documents during the pre-construction phase including electronic specifications and estimates; and 2D and or 3D digital plan sheets as PDFs generated directly from CADD software. Additionally, it includes the use of these digital intelligent documents to review, collaborate, and approve the bid package during design and advertisement. Lastly, digital PS&amp;E documents may include issuing 3D engineered models as contractual documents during advertisement. 3D design data enables the use of quantity take-offs during bidding, the use of AMG construction methods, and quantity verification and measurements during construction. Digital PS&amp;E documents enable other paperless processes, such as electronic bidding and digital project review. The primary benefits are improved efficiencies due to turn-around time to receive comments during the design phase. The costs and benefits listed in the analysis focus on pre-construction activities only.</t>
    </r>
  </si>
  <si>
    <t>This is assumed to be the average fully loaded salary of all staff members involved (design team, agency oversight, etc.)</t>
  </si>
  <si>
    <t>Enter the number of hours saved during the design review process through electronic markups instead of paper markups, as well as any other time savings in the design review process.</t>
  </si>
  <si>
    <t>Enter the value of savings for quantity take-offs and other analysis activities to prepare the engineer's estimate.</t>
  </si>
  <si>
    <t>Assuming that the agency outsources about 80% of the design work, and that about 300 projects are advertised for bidding each year.</t>
  </si>
  <si>
    <t>Enter the number of plan sheets that do not need to be printed since the files are provided electronically to contracts to prepare their bids. The Contracts Group can provide these estimates based on the bid lettings in the last 12 months.</t>
  </si>
  <si>
    <t>This is an estimate of the total cost of printing, including paper, toner, processing and other expenses.</t>
  </si>
  <si>
    <t>Enter the number of pages that do not need to be printed and provided to contractors to help prepare the bids. The Contracts Group can provide these estimates based on the bid lettings in the last 12 months.</t>
  </si>
  <si>
    <t xml:space="preserve">FTE hourly salary * # of hours saved per design contract for PS&amp;E review/comments * # of design contracts per year.
Assumption is that 25% benefits are received in the year of implementation completion (year 2), 75% in the year after, and 100% thereafter.
</t>
  </si>
  <si>
    <t xml:space="preserve">FTE hourly salary * # of hours saved for quantity take-off and other analysis activities * # of design contracts per year.
</t>
  </si>
  <si>
    <t xml:space="preserve"># of eliminated pages * total cost per page * # of projects bid per year.
</t>
  </si>
  <si>
    <t>Enter the cost for professional services to develop CADD configuration, and standards. These services may also include updating manuals and policies. This is a one-time cost. This value comes directly from the consultant estimate or vendor's quote. If this value is unknown, use a default value of $150,000 for planning purposes.</t>
  </si>
  <si>
    <t>Enter the cost of purchasing additional CADD licenses that may be needed to review either 2D or 3D CADD design files and/or vendor PDFs. This value is dependent on the number of employees needing to review electronic plans. If this number is unknown, assume the cost to add 10 licenses. In the case of having an enterprise agreement with unlimited use of licenses, there would be no additional cost</t>
  </si>
  <si>
    <t>Enter any software maintenance cost that is NOT included in the annual software licensing/subscription starting in Year 2. If this value is unknown, assume that maintenance is 20% of the original license purchase for Year 2</t>
  </si>
  <si>
    <t>Enter the cost for  integrating into existing DOT systems (cost estimation, project mgmt., &amp; financial) if applicable. It is assumed here that the implementation will be completed in-house with minimal support required from the vendor.</t>
  </si>
  <si>
    <t>This is the cost to manage any outsourced services. An on premise installation/solution is assumed here and there are no managed services cost in this scenario.</t>
  </si>
  <si>
    <t>Enter the cost of necessary hardware and other costs to improve the IT infrastructure to support the electronic PS&amp;E solution. An estimate can be obtained from the IT group. If unknown, the default of $20,000 can be used for planning purposes. This is a one time cost.</t>
  </si>
  <si>
    <t>Enter the cost for hardware and necessary software maintenance. This is typically estimated to be 15% of the hardware cost (per year).</t>
  </si>
  <si>
    <t xml:space="preserve">Enter the cost  for hardware replacement/updates. Hardware is generally upgraded every 3-5 years. You may assume a cost equal to the original hardware and technical infrastructure since the costs are presented in real dollars (today's dollars).
</t>
  </si>
  <si>
    <t>The staff costs here are based on inputs in Table 3. Based on the general implementation timeline, we have assumed that 90% of the cost will be in year 1 and 10% in year 2. This includes time spent by staff to be trained on the new system(s).</t>
  </si>
  <si>
    <t>The staff costs are based on inputs in Table 3. Ongoing support begins in the year that implementation is complete (Year 2 in this case).</t>
  </si>
  <si>
    <t xml:space="preserve">Enter the estimate to upgrade the software. Upgrades are assumed to take place every 3 years after original implementation is complete, and cost 15% of the original implementation. </t>
  </si>
  <si>
    <r>
      <rPr>
        <b/>
        <sz val="12"/>
        <color theme="1"/>
        <rFont val="Calibri"/>
        <family val="2"/>
        <scheme val="minor"/>
      </rPr>
      <t>Improvement Opportunity Area: Digital Plans, Specifications and Estimates (Pre-construction)</t>
    </r>
    <r>
      <rPr>
        <sz val="12"/>
        <color theme="1"/>
        <rFont val="Calibri"/>
        <family val="2"/>
        <scheme val="minor"/>
      </rPr>
      <t xml:space="preserve">
Refers to the preparation of digital and intelligent PS&amp;E documents during the pre-construction phase including electronic specifications and estimates; and 2D and or 3D digital plan sheets as PDFs generated directly from CADD software. Additionally, it includes the use of these digital intelligent documents to review, collaborate, and approve the bid package during design and advertisement. Lastly, digital PS&amp;E documents may include issuing 3D engineered models as contractual documents during advertisement. 3D design data enables the use of quantity take-offs during bidding, the use of AMG construction methods, and quantity verification and measurements during construction. Digital PS&amp;E documents enable other paperless processes, such as electronic bidding and digital project review. The primary benefits are improved efficiencies due to turn-around time to receive comments during the design phase. The costs and benefits listed in the analysis focus on pre-construction activities only.
</t>
    </r>
  </si>
  <si>
    <t>Reduced  or eliminated incomplete or irregular bids due to e-Bidding validation as responses are prepared.
Because information is available to prospective bidders 24 x 7, the need to carry bid documents to DOT is eliminated, and the bid can be submitted up to the last minute before bid opening, contractors can spend more time on developing the most competitive  responses to bids, saving DOTs on project costs.
Reduced risk for error (including data entry errors, lost documentation, and reduced errors in bid submittals, etc.) allowing DOTs to award more low bid  submittals.</t>
  </si>
  <si>
    <r>
      <t>Improvement Opportunity Area: Digital Review</t>
    </r>
    <r>
      <rPr>
        <sz val="12"/>
        <color theme="1"/>
        <rFont val="Calibri"/>
        <family val="2"/>
        <scheme val="minor"/>
      </rPr>
      <t xml:space="preserve">
Includes the review and approval of contract documents once an award has been made. The awarded contractor submits all required contractual documents via a secure electronic system for the agency to review, accept, and execute the contract before construction begins. The primary benefits are improved efficiencies and faster due to faster turn-around times during the transmittal and approval of documents. Digital review combined with mobile devices can allow staff to both access and review information faster. </t>
    </r>
  </si>
  <si>
    <t xml:space="preserve">Enter the annual construction program. This value can be obtained from the Construction Engineering Office.
</t>
  </si>
  <si>
    <t xml:space="preserve">This value is the annual average number of contracts advertised  in the last 12 months. This number can be requested from the Contracts Group.
</t>
  </si>
  <si>
    <t xml:space="preserve">This number of pages represents all pages reviewed electronically. Savings from not printing plan sets to provide to contractors for bidding is presented as a part of the electronic PS&amp;E improvement, while construction documents such as daily reports are accounted for in project construction management.
</t>
  </si>
  <si>
    <t xml:space="preserve">This is an estimate of the total cost of printing, including paper, toner, processing and other expenses.
</t>
  </si>
  <si>
    <t xml:space="preserve">This is assumed to be the average fully loaded salary of all staff members involved.
</t>
  </si>
  <si>
    <t>• Iowa DOT estimated a 2 hour saving per employee per week (or 720 hours total) for review and not having to scan, fax and mail documents (including PS&amp;Es) for a 36 week project that cost $13.5 million
• Utah DOT estimated a savings of 1 to 3 hours per employee per week (or 375 total hours on a 75 week project that cost $62 million and 2,415 total hours on a 35 week project that cost $3.2 million) from not having to scan, fax, and mail documents (including PS&amp;Es)
• Utah DOT estimated a savings of 2 hours per employee per week (or 1,610 hours total) from faster document review for a 35 week project that cost $3.2 million
• Choate Construction reported a 30% schedule acceleration through more organized construction documents, having the ability to instantly update document sets, and being able to access information in the field</t>
  </si>
  <si>
    <t xml:space="preserve"># of eliminated pages * # of projects bid per year * total cost per page.
Assumption is that no benefits are received in the year of implementation, 50% in the next year, and 100% thereafter.
</t>
  </si>
  <si>
    <t xml:space="preserve">Average project length * time savings per week * hourly rate * # of projects per year.
</t>
  </si>
  <si>
    <t xml:space="preserve">Up to 500 users, cloud based system (software as a service)
</t>
  </si>
  <si>
    <t xml:space="preserve">Assume maintenance is included in the annual  subscription
</t>
  </si>
  <si>
    <t>Assume web-based training, $250 per staff, for 100 staff members</t>
  </si>
  <si>
    <t xml:space="preserve">Assume 2 hours of training per staff, for 100 staff members
</t>
  </si>
  <si>
    <t xml:space="preserve">Assume minimal support required per year
</t>
  </si>
  <si>
    <t xml:space="preserve">Assume 200 recent projects with 250 pages on average; 1 FTE can scan and file 20 pages per hour
</t>
  </si>
  <si>
    <r>
      <rPr>
        <b/>
        <sz val="12"/>
        <color theme="1"/>
        <rFont val="Calibri"/>
        <family val="2"/>
        <scheme val="minor"/>
      </rPr>
      <t>Improvement Opportunity Area: Digital Review</t>
    </r>
    <r>
      <rPr>
        <sz val="12"/>
        <color theme="1"/>
        <rFont val="Calibri"/>
        <family val="2"/>
        <scheme val="minor"/>
      </rPr>
      <t xml:space="preserve">
Includes the review and approval of contract documents once an award has been made. The awarded contractor submits all required contractual documents via a secure electronic system for the agency to review, accept, and execute the contract before construction begins. The primary benefits are improved efficiencies and faster due to faster turn-around times during the transmittal and approval of documents. Digital review combined with mobile devices can allow staff to both access and review information faster. 
</t>
    </r>
  </si>
  <si>
    <r>
      <t xml:space="preserve">Improvement Opportunity Area: Digital Review
</t>
    </r>
    <r>
      <rPr>
        <sz val="12"/>
        <color theme="1"/>
        <rFont val="Calibri"/>
        <family val="2"/>
        <scheme val="minor"/>
      </rPr>
      <t xml:space="preserve">Includes the review and approval of contract documents once an award has been made. The awarded contractor submits all required contractual documents via a secure electronic system for the agency to review, accept, and execute the contract before construction begins. The primary benefits are improved efficiencies and faster due to faster turn-around times during the transmittal and approval of documents. Digital review combined with mobile devices can allow staff to both access and review information faster. </t>
    </r>
  </si>
  <si>
    <r>
      <rPr>
        <b/>
        <sz val="12"/>
        <rFont val="Calibri"/>
        <family val="2"/>
        <scheme val="minor"/>
      </rPr>
      <t>Improvement Opportunity Area: Project Construction Management</t>
    </r>
    <r>
      <rPr>
        <sz val="12"/>
        <rFont val="Calibri"/>
        <family val="2"/>
        <scheme val="minor"/>
      </rPr>
      <t xml:space="preserve">
Refers to the use of an electronic system that handles contract administration, payroll and contractor payments review, documentation of project data and records, change order approvals, project reporting, tracking of materials and daily field activities, integration of material and lab administration, and project close-out. A construction management system allows members of the project to both enter and retrieve information faster and more efficiently compared to a paper-based process.
</t>
    </r>
  </si>
  <si>
    <t>Agencies could anticipate a reduction in project claims costs due to the availability of more comprehensive data, which would lead to easier resolution of issues and therefore avoid claims (similar to construction partnering).</t>
  </si>
  <si>
    <t>Agencies could anticipate a reduction in project change orders that may be a result of missing documentation or miscommunication.</t>
  </si>
  <si>
    <t>Includes estimates, change orders, pay documents, etc.,</t>
  </si>
  <si>
    <t>Documents would be processed electronically and the need to produce printed copies would be greatly reduced.</t>
  </si>
  <si>
    <t>• Iowa DOT estimated a savings of 6 hours per employee per week (or 9,720 hours total) for a $13.5 million project over 36 weeks. 
• Michigan DOT estimated a savings of 740 hours from faster document access on a $3.2 million project over 37 weeks; 2,683 total from faster reporting on a $3.2 million project over 37 weeks. 
• Utah DOT estimated a savings of 340 hours on a $3.6 million project over 17 weeks; 2,625 hours on a $3.2 million project over 35 weeks; 1,575 hours on a $62 million project over 75 weeks; 525 hours on a $3.2 million project over 35 weeks.
• Iowa DOT estimated a savings of 2 hours per employee per week (or 3,240 hours total) for a $13.5 million project.
• Virginia DOT estimates a savings of 1 hour travel time savings per week per staff member, 1,600 Construction Engineering and Inspection Personnel, which translates to over 83,000 hours annually</t>
  </si>
  <si>
    <t>• Iowa DOT estimated a savings of about $1,416 in printing costs on a $13.5 million project (23,600 sheets of paper * 6 cents to print each page)
• Michigan DOT estimated a savings of about $72 in printing costs on a $3.3 million project (1,449 sheets of paper * 5 cents to print each page)
• Utah DOT estimated a savings of about $12 in printing costs on a $3.2 million project (300 sheets of paper * 4 cents to print each page)</t>
  </si>
  <si>
    <t># of hours saved per week per person * # of agency staff members working on project * average length of project * hourly rate * # of projects bid per year</t>
  </si>
  <si>
    <t>Total value of claims processed annually * reduction or avoidance in annual claims</t>
  </si>
  <si>
    <t>Total value of change orders processed annually * reduction in change orders annually</t>
  </si>
  <si>
    <t># of eliminated pages printed per project * # of projects bid per year * total cost per page</t>
  </si>
  <si>
    <t>Prepare requirements, business process improvements, system acquisition and other activities.</t>
  </si>
  <si>
    <t>Based on using a product that is widely used by DOTs.</t>
  </si>
  <si>
    <t>Assuming maintenance is included in license fees.</t>
  </si>
  <si>
    <t>Systems integration services includes installing and configuring the software for the agency and integration with existing DOT systems (e.g. cost estimation, bidding, financial). We have assumed that 30% of the cost will be in year 1 and 70% of the cost will be in year 2 based on the general implementation timeline.</t>
  </si>
  <si>
    <t>Assume that the system is hosted in-house on DOT servers.</t>
  </si>
  <si>
    <t>Includes back office hardware and necessary software licenses for test and production environments.</t>
  </si>
  <si>
    <t>Assume 10% of hardware cost is necessary for maintenance.</t>
  </si>
  <si>
    <t>The staff costs here are based on inputs in Table 3. Based on the general implementation timeline, we have assumed that 30% of the cost will be in year 1 and 70% in year 2. This includes time spent by staff to be trained on the new system(s).</t>
  </si>
  <si>
    <t>Enter the estimate to upgrade the software. Upgrades are assumed to take place every 3 years after original implementation is complete, and cost 15% of the original implementation. This cost accounts for any interface and other changes required due to other system upgrades/changes.</t>
  </si>
  <si>
    <t>Benefit Cost Analysis Calculation</t>
  </si>
  <si>
    <r>
      <rPr>
        <b/>
        <sz val="12"/>
        <color theme="1"/>
        <rFont val="Calibri"/>
        <family val="2"/>
        <scheme val="minor"/>
      </rPr>
      <t>Improvement Opportunity Area: Project Construction Management</t>
    </r>
    <r>
      <rPr>
        <sz val="12"/>
        <color theme="1"/>
        <rFont val="Calibri"/>
        <family val="2"/>
        <scheme val="minor"/>
      </rPr>
      <t xml:space="preserve">
Refers to the use of an electronic system that handles contract administration, payroll and contractor payments review, documentation of project data and records, change order approvals, project reporting, tracking of materials and daily field activities, integration of material and lab administration, and project close-out. A construction management system allows members of the project to both enter and retrieve information faster and more efficiently compared to a paper-based process.
</t>
    </r>
  </si>
  <si>
    <t>Reduced risk for error (including data entry errors, lost documentation, and reduced errors in bid submittals, etc.).
Increased transparency and accountability.
Increased security of documents.
Increased access to documents.
Faster payments to contractors.
Improved process efficiencies and communications on materials and laboratory functions with the integration in common database.
Improved interaction and communication with contractors through use of common tool for construction management (contractor access).</t>
  </si>
  <si>
    <r>
      <rPr>
        <b/>
        <sz val="12"/>
        <rFont val="Calibri"/>
        <family val="2"/>
        <scheme val="minor"/>
      </rPr>
      <t>Improvement Opportunity Area: Project Collaboration</t>
    </r>
    <r>
      <rPr>
        <sz val="12"/>
        <rFont val="Calibri"/>
        <family val="2"/>
        <scheme val="minor"/>
      </rPr>
      <t xml:space="preserve">
Includes the use of a document management system for sharing documents, and collaborating during the construction of a project by all parties involved. The primary benefits are improved documentation and transparency, increased efficiencies and accessibility.
</t>
    </r>
  </si>
  <si>
    <t>Assumed that these benefits are accounted for in the digital review process. You may enter a value for total cost if the benefits are not accounted for in digital review for your agency.</t>
  </si>
  <si>
    <t>• Utah DOT estimates a savings of 3 hours  per employee per week for a $62 million project over 7 weeks
• Missouri DOT estimates a savings of 1.7  hours per employee per week for a $1.04 million project over 8 weeks
• Michigan DOT estimates a savings of 15 hours per employee per week for a $3.3 million project over 37 weeks</t>
  </si>
  <si>
    <t># of eliminated pages printed per project * # of projects bid per year * total cost per page. These benefits are accounted for under the digital review improvement opportunity</t>
  </si>
  <si>
    <t xml:space="preserve">
# of projects per year * average length of each project * # of hours saved each week * FTE hourly salary</t>
  </si>
  <si>
    <t>Estimated cost for software evaluation, selection, identifying systems for integration  and business process updates.</t>
  </si>
  <si>
    <t>Assuming subscription fee for about 200 users for cloud based software</t>
  </si>
  <si>
    <t>Assuming maintenance is included in the annual subscription</t>
  </si>
  <si>
    <t>Assuming this is included in the subscription fee</t>
  </si>
  <si>
    <t>Proposed solution uses cloud services - no additional DOT hardware required</t>
  </si>
  <si>
    <t>Multi-discipline involvement will be necessary</t>
  </si>
  <si>
    <t>End user support required on an ongoing basis / if caching servers are deployed, this cost should increase</t>
  </si>
  <si>
    <r>
      <rPr>
        <b/>
        <sz val="12"/>
        <color theme="1"/>
        <rFont val="Calibri"/>
        <family val="2"/>
        <scheme val="minor"/>
      </rPr>
      <t>Improvement Opportunity Area: Project Collaboration</t>
    </r>
    <r>
      <rPr>
        <sz val="12"/>
        <color theme="1"/>
        <rFont val="Calibri"/>
        <family val="2"/>
        <scheme val="minor"/>
      </rPr>
      <t xml:space="preserve">
Includes the use of a document management system for sharing documents, and collaborating during the construction of a project by all parties involved. The primary benefits are improved documentation and transparency, increased efficiencies and accessibility.</t>
    </r>
  </si>
  <si>
    <t>This value is the annual average number of contracts advertised  in the last 12 months. This number can be requested from the Contracts Group</t>
  </si>
  <si>
    <t># of total projects per year * # of hours reduced to verify as-builts * FTE hourly salary</t>
  </si>
  <si>
    <t># of completed projects accessed per year * # of hours reduced to verify as-builts * FTE hourly salary</t>
  </si>
  <si>
    <t>Assume an additional 0.01% increase in construction cost due to requirement. This number is assumed to be low given the competitive bidding environment, especially on D-B-B projects that are awarded to the lowest bidders.</t>
  </si>
  <si>
    <r>
      <t xml:space="preserve">Improvement Opportunity Area: Digital As-Builts
</t>
    </r>
    <r>
      <rPr>
        <sz val="12"/>
        <color theme="1"/>
        <rFont val="Calibri"/>
        <family val="2"/>
        <scheme val="minor"/>
      </rPr>
      <t xml:space="preserve">Refers to the requirement for providing digital as-builts in the form of 3D CADD and GIS data collected using geospatial technologies (e.g. GNSS equipment, lidar, and unmanned aircraft systems) at the time of project acceptance. The primary benefits are more accurate records that augment a programmatic asset inventory database, and accessibility to information for asset maintenance and operation. </t>
    </r>
  </si>
  <si>
    <t>Reduced risk for error (including data entry errors, lost documentation, and reduced errors in bid submittals, etc.)
Increased transparency and accountability
Increased security of documents
Increased access to documents
Faster payments to contractors
Improved process efficiencies and communications on materials and laboratory functions with the integration in common database
Improved interaction and communication with contractors through use of common tool for construction management (contractor access)</t>
  </si>
  <si>
    <r>
      <rPr>
        <b/>
        <sz val="12"/>
        <color theme="1"/>
        <rFont val="Calibri"/>
        <family val="2"/>
        <scheme val="minor"/>
      </rPr>
      <t>Improvement Opportunity Area: Digital As-Builts</t>
    </r>
    <r>
      <rPr>
        <sz val="12"/>
        <color theme="1"/>
        <rFont val="Calibri"/>
        <family val="2"/>
        <scheme val="minor"/>
      </rPr>
      <t xml:space="preserve">
Refers to the requirement for providing digital as-builts in the form of 3D CADD and GIS data collected using geospatial technologies (e.g. GNSS equipment, LIDAR, and unmanned aircraft systems) at the time of project acceptance. The primary benefits are more accurate records that augment a programmatic asset inventory database, and accessibility to information for asset maintenance and operation.</t>
    </r>
  </si>
  <si>
    <r>
      <rPr>
        <b/>
        <sz val="12"/>
        <rFont val="Calibri"/>
        <family val="2"/>
        <scheme val="minor"/>
      </rPr>
      <t>Improvement Opportunity Area: Mobile Devices</t>
    </r>
    <r>
      <rPr>
        <sz val="12"/>
        <rFont val="Calibri"/>
        <family val="2"/>
        <scheme val="minor"/>
      </rPr>
      <t xml:space="preserve">
Includes the use of mobile devices to assist in both collecting and retrieving various data electronically in the field. Like digital signatures, mobile devices are used in combination with other improvement opportunities identified herein (e.g. digital access of PS&amp;E documents, reference materials, and construction management systems). The primary benefits are increased transparency, accessibility, mobility, and communication. </t>
    </r>
  </si>
  <si>
    <t>This value is the annual average number of contracts advertised in the last 12 months. This number can be requested from the Contracts Group.</t>
  </si>
  <si>
    <t>It is assumed that inspectors will be based out of a local office and travel there daily. If inspectors have to travel to an office location to submit inspection reports, and those trips could be eliminated, the agency should enter that time saving in the input cell.</t>
  </si>
  <si>
    <t>This benefit applies only if mobile devices are used in conjunction with the digital review process. This saving would result through the ability to access files in the field.</t>
  </si>
  <si>
    <t xml:space="preserve">This benefit applies only if mobile devices are used in conjunction with the project collaboration opportunity. This saving would result through the ability to access files on site and upload information such as pictures. </t>
  </si>
  <si>
    <t>This benefit applies only if mobile devices are used in conjunction with the project construction management system opportunity. This saving would result through electronic review of payroll information, entry of daily work reports and other similar activities.</t>
  </si>
  <si>
    <t>• Project Inspection Using Mobile Technology - Phase II report (WA-RD 840.2) estimated an average time savings of 40 minutes per day per inspector to generate daily inspection reports
• Iowa DOT estimates a cost savings of about $42,575 from no longer having to purchase, set-up, and maintain field books for a $13.5 million project
• Utah DOT estimates a cost savings of $1,272 from no longer having to purchase, set-up, and maintain field books for a $3.6 million project, about $2,400 for a $62 million project, and $8,825 for a $3.2 million project</t>
  </si>
  <si>
    <t>• Iowa DOT estimates a savings of $1,920 in gas for a $13.5 million project (assuming $0.32/mile)
• Utah DOT estimates a cost savings of about $53,200 from time savings from traveling to and from the site, performing the inspection, and completing all necessary documentation for a $3.2 million project, $179,550 for a $62 million project, and $5,814 for a $3.6 million project  
• Utah DOT estimates a savings of $1,000 in gas (lump sum) from reduced travel to and from jobsites for inspectors for a $3.2 million project (assumes 2 to 3 trips per week and 100 miles), $5,814 for a $3.6 million project, and $12,500 for a $62 million project.
• PennDOT estimates a cost savings of $3.3 million (annually) from reduced driving between the field and the office and transcribing data from field books to electronic systems, auditing, printing, mailing, filing, and searching for paper documents.</t>
  </si>
  <si>
    <t>• Iowa DOT estimates a cost savings of $16,200 from no longer having to sort and file documents, being able to search through plans, specifications, and other materials electronically for a $13.5 million projectto electronic systems, auditing, printing, mailing, filing, and searching for paper documents.</t>
  </si>
  <si>
    <t>Estimated data entry time savings per inspector per week * # of weeks of construction season *# of work days per week * average hourly pay * # of inspectors</t>
  </si>
  <si>
    <t>Estimated travel time savings per inspector per week * # of weeks of construction season *# of work days per week * average hourly pay * # of inspectors</t>
  </si>
  <si>
    <t xml:space="preserve">
Estimated data searching time savings per inspector per week * # of weeks of construction season *# of work days per week * average hourly pay * # of inspectors</t>
  </si>
  <si>
    <t>Annual construction program * additional benefit to digital review process</t>
  </si>
  <si>
    <t>Annual construction program * additional benefit to project collaboration</t>
  </si>
  <si>
    <t xml:space="preserve">Annual construction program * additional benefit to project construction management </t>
  </si>
  <si>
    <t>This effort will help the agency to better understand the technology and impacts, along with how the data is integrated into major systems and how the mobile devices fit in the agency's enterprise architecture.</t>
  </si>
  <si>
    <t>Includes additional effort to plan for digital review system use on mobile devices</t>
  </si>
  <si>
    <t>Includes additional effort to plan for project collaboration system use on mobile devices</t>
  </si>
  <si>
    <t>Includes additional effort to plan for project construction management system use on mobile devices</t>
  </si>
  <si>
    <t>Estimated at $200 per inspector for inspection data collection software offered as a cloud based service, 60 inspectors x 3 for other data users.</t>
  </si>
  <si>
    <t>Assumed that maintenance is included in software license cost.</t>
  </si>
  <si>
    <t>Assume that the agency implementation team will handle all configuration, implementation and integration work.</t>
  </si>
  <si>
    <t>Agency could include handling of warranty issues in existing PC support (contract)</t>
  </si>
  <si>
    <t>Includes device, extra power adapter, docking station, cover/keyboard for 180 devices; if devices are acquired over a two or three year phased implementation, it will flatten the expenditure curve.</t>
  </si>
  <si>
    <t>$150/year/device for 3 year full maintenance coverage - estimated for 180 devices</t>
  </si>
  <si>
    <t>Assume that 5% of devices are lost/damaged per year, and that all devices are replaced in year 4. Some agencies may choose to purchase an extended warranty to match the expected life of the device and replace on a cycle from 3 to 5 years
There are also options for replacing devices when they are lost or damaged in the field. Some states opt to purchase an additional 10% of the total number of devices as spares to replace any devices that are lost or damaged. The other option is to only purchase the devices needed and purchase additional as needed (however, the latter runs the risk that the exact devices may be no longer available for purchase).</t>
  </si>
  <si>
    <r>
      <rPr>
        <b/>
        <sz val="12"/>
        <color theme="1"/>
        <rFont val="Calibri"/>
        <family val="2"/>
        <scheme val="minor"/>
      </rPr>
      <t xml:space="preserve">Improvement Opportunity Area: Mobile Devices
</t>
    </r>
    <r>
      <rPr>
        <sz val="12"/>
        <color theme="1"/>
        <rFont val="Calibri"/>
        <family val="2"/>
        <scheme val="minor"/>
      </rPr>
      <t xml:space="preserve">Includes the use of mobile devices to assist in both collecting and retrieving various data electronically in the field. Like digital signatures, mobile devices are used in combination with other improvement opportunities identified herein (e.g. digital access of PS&amp;E documents, reference materials, and construction management systems). The primary benefits are increased transparency, accessibility, mobility, and communication. </t>
    </r>
  </si>
  <si>
    <t xml:space="preserve">• Kentucky Transportation Cabinet estimates it saves 200,000 pages of bid-related paper documents per year with is electronic bidding process                                                                                                                                    </t>
  </si>
  <si>
    <t>Return on Investment</t>
  </si>
  <si>
    <t>Return on Investment Timeframe (please select timeframe) -------&gt;</t>
  </si>
  <si>
    <t>Faster access to data in the future and ability to use the information for asset management and other activities</t>
  </si>
  <si>
    <r>
      <rPr>
        <b/>
        <sz val="12"/>
        <rFont val="Calibri"/>
        <family val="2"/>
        <scheme val="minor"/>
      </rPr>
      <t>Improvement Opportunity Area: Digital As-Builts</t>
    </r>
    <r>
      <rPr>
        <sz val="12"/>
        <rFont val="Calibri"/>
        <family val="2"/>
        <scheme val="minor"/>
      </rPr>
      <t xml:space="preserve">
Refers to the requirement for providing digital as-builts in the form of 3D CADD and GIS data collected using geospatial technologies (e.g. GNSS equipment, LIDAR, and unmanned aircraft systems) at the time of project acceptance. The primary benefits are more accurate records that augment a programmatic asset inventory database, and accessibility to information for asset maintenance and operation. </t>
    </r>
  </si>
  <si>
    <t xml:space="preserve">Table 1. Benefit Inputs for Project Construction Management
</t>
  </si>
  <si>
    <t>Table 1. Benefit Inputs for Digital Review</t>
  </si>
  <si>
    <t>Table 1. Benefit Inputs for Project Collaboration</t>
  </si>
  <si>
    <t>Table 1. Benefit Inputs for Digital As-Builts</t>
  </si>
  <si>
    <t>Table 1. Benefit Inputs for Mobile Devices</t>
  </si>
  <si>
    <t>Table 1. Estimated Annual Savings for Seamless Integration.</t>
  </si>
  <si>
    <t xml:space="preserve">Table 1. Benefit Inputs for Digital Plans, Specifications, and Estimates
</t>
  </si>
  <si>
    <t xml:space="preserve">Table 2. Anticipated Benefit Streams and Percentage Realized by Year for Project Construction Management
</t>
  </si>
  <si>
    <t>Table 3. Staff Costs for Implementation and Ongoing Support for Electronic Bidding and Contract Award</t>
  </si>
  <si>
    <t>Table 3. Staff Costs for Implementation and Ongoing Support for Digital Plans, Specifications, and Estimates</t>
  </si>
  <si>
    <t>Table 4. Total Costs and Costs Incurred by Year for Digital Review</t>
  </si>
  <si>
    <t>Table 4. Total Costs and Costs Incurred by Year for Electronic Bidding and Contract Award</t>
  </si>
  <si>
    <t xml:space="preserve">Table 4. Total Costs and Costs Incurred by Year for Digital As-Builts
</t>
  </si>
  <si>
    <t>Table 4. Total Costs and Costs Incurred by Year for Project Collaboration</t>
  </si>
  <si>
    <t>Table 4. Total Costs and Costs Incurred by Year for Project Construction Management</t>
  </si>
  <si>
    <t>Table 4. Total Costs and Costs Incurred by Year for Mobile Devices</t>
  </si>
  <si>
    <t>Time to create daily inspection report</t>
  </si>
  <si>
    <t>Increased communication and collaboration
Electronic record of project documentation
Faster document access and elimination of lost documents
Elimination of delivery time of plans to different locations for review
Assume that digital review is implemented earlier, and the benefits and costs are accounted for separately</t>
  </si>
  <si>
    <t>Increased communication and collaboration.
Faster reviews and communication due to immediate access to drawings (no delays for shipping or delivery).
More accurate and more complete project files.
More legible annotations and notes from typing on computer device rather than handwriting.</t>
  </si>
  <si>
    <t>Cost Incurred in Year 5 (I)</t>
  </si>
  <si>
    <t>Table 1. Benefit Inputs for Electronic Bidding and Contract Award</t>
  </si>
  <si>
    <t xml:space="preserve">Table 2. Anticipated Benefit Streams and Percentage Realized by Year for Electronic Bidding and Contract Award
</t>
  </si>
  <si>
    <t>Input that is entered/modified by user. Input cells are light orange.</t>
  </si>
  <si>
    <t>Output that is automatically calculated in Excel. This cell should not be modified. Output cells are grey.</t>
  </si>
  <si>
    <r>
      <rPr>
        <b/>
        <sz val="12"/>
        <color theme="1"/>
        <rFont val="Calibri"/>
        <family val="2"/>
        <scheme val="minor"/>
      </rPr>
      <t xml:space="preserve">This BCA and ROI template was created as a companion to the final report for FHWA Addressing the Challenge and the ROI for e-Construction.
</t>
    </r>
    <r>
      <rPr>
        <sz val="12"/>
        <color theme="1"/>
        <rFont val="Calibri"/>
        <family val="2"/>
        <scheme val="minor"/>
      </rPr>
      <t xml:space="preserve">    
</t>
    </r>
    <r>
      <rPr>
        <b/>
        <sz val="12"/>
        <color theme="1"/>
        <rFont val="Calibri"/>
        <family val="2"/>
        <scheme val="minor"/>
      </rPr>
      <t>Purpose of the Template:</t>
    </r>
    <r>
      <rPr>
        <sz val="12"/>
        <color theme="1"/>
        <rFont val="Calibri"/>
        <family val="2"/>
        <scheme val="minor"/>
      </rPr>
      <t xml:space="preserve">  To help agencies conduct a benefit-cost analysis and calculate the ROI for the implementation of one or multiple e-Construction opportunities.
</t>
    </r>
    <r>
      <rPr>
        <b/>
        <sz val="12"/>
        <color theme="1"/>
        <rFont val="Calibri"/>
        <family val="2"/>
        <scheme val="minor"/>
      </rPr>
      <t>Organization of the Template:</t>
    </r>
    <r>
      <rPr>
        <sz val="12"/>
        <color theme="1"/>
        <rFont val="Calibri"/>
        <family val="2"/>
        <scheme val="minor"/>
      </rPr>
      <t xml:space="preserve"> Each opportunity includes three components: Inputs (4 tabs); BCA calculations (1 tab) and general implementation timeline (1 tab). Table 1 (below) provides a description of the tabs used in the spreadsheet. Table 2 (on the following tab) describes each of type of tabs in the tool. Each e-Construction opportunity is presented and defined in Table 3 (on the third tab). A worksheet at the end of the workboook includes benefits that could be derived from integrating various improvement opportunities.
</t>
    </r>
    <r>
      <rPr>
        <b/>
        <sz val="12"/>
        <color theme="1"/>
        <rFont val="Calibri"/>
        <family val="2"/>
        <scheme val="minor"/>
      </rPr>
      <t xml:space="preserve">NOTE: ONLY ADVANCED EXCEL USERS SHOULD ADD/DELETE ROWS OR COLUMNS, SINCE FORMULAS MAY BREAK IN THOSE CASES. GENERAL USERS SHOULD ONLY MODIFY VALUES IN INPUT CELLS. </t>
    </r>
  </si>
  <si>
    <r>
      <rPr>
        <b/>
        <sz val="12"/>
        <color theme="1"/>
        <rFont val="Calibri"/>
        <family val="2"/>
        <scheme val="minor"/>
      </rPr>
      <t xml:space="preserve">This BCA and ROI template was created as a companion to the final report for FHWA Addressing the Challenge and the ROI for e-Construction.
</t>
    </r>
    <r>
      <rPr>
        <sz val="12"/>
        <color theme="1"/>
        <rFont val="Calibri"/>
        <family val="2"/>
        <scheme val="minor"/>
      </rPr>
      <t xml:space="preserve">    
</t>
    </r>
    <r>
      <rPr>
        <b/>
        <sz val="12"/>
        <color theme="1"/>
        <rFont val="Calibri"/>
        <family val="2"/>
        <scheme val="minor"/>
      </rPr>
      <t>Purpose of the Template:</t>
    </r>
    <r>
      <rPr>
        <sz val="12"/>
        <color theme="1"/>
        <rFont val="Calibri"/>
        <family val="2"/>
        <scheme val="minor"/>
      </rPr>
      <t xml:space="preserve">  To help agencies conduct a benefit-cost analysis and calculate the ROI for the implementation of one or multiple e-Construction opportunities.
</t>
    </r>
    <r>
      <rPr>
        <b/>
        <sz val="12"/>
        <color theme="1"/>
        <rFont val="Calibri"/>
        <family val="2"/>
        <scheme val="minor"/>
      </rPr>
      <t>Organization of the Template:</t>
    </r>
    <r>
      <rPr>
        <sz val="12"/>
        <color theme="1"/>
        <rFont val="Calibri"/>
        <family val="2"/>
        <scheme val="minor"/>
      </rPr>
      <t xml:space="preserve"> Each opportunity includes three components: Inputs (4 tabs); BCA calculations (1 tab) and general implementation timeline (1 tab). Table 1 (in the previous tab) provides a description of the tabs used in the spreadsheet. Table 2 (below) describes each type of tab in the tool. Each e-Construction opportunity is presented and defined in Table 3 (on the following tab). A worksheet at the end of the workboook includes benefits that could be derived from integrating various improvement opportunities.
</t>
    </r>
    <r>
      <rPr>
        <b/>
        <sz val="12"/>
        <color theme="1"/>
        <rFont val="Calibri"/>
        <family val="2"/>
        <scheme val="minor"/>
      </rPr>
      <t xml:space="preserve">NOTE: ONLY ADVANCED EXCEL USERS SHOULD ADD/DELETE ROWS OR COLUMNS, SINCE FORMULAS MAY BREAK IN THOSE CASES. GENERAL USERS SHOULD ONLY MODIFY VALUES IN INPUT CELLS. </t>
    </r>
  </si>
  <si>
    <r>
      <rPr>
        <b/>
        <sz val="12"/>
        <color theme="1"/>
        <rFont val="Calibri"/>
        <family val="2"/>
        <scheme val="minor"/>
      </rPr>
      <t xml:space="preserve">This BCA and ROI template was created as a companion to the final report for FHWA Addressing the Challenge and the ROI for e-Construction.
</t>
    </r>
    <r>
      <rPr>
        <sz val="12"/>
        <color theme="1"/>
        <rFont val="Calibri"/>
        <family val="2"/>
        <scheme val="minor"/>
      </rPr>
      <t xml:space="preserve">    
</t>
    </r>
    <r>
      <rPr>
        <b/>
        <sz val="12"/>
        <color theme="1"/>
        <rFont val="Calibri"/>
        <family val="2"/>
        <scheme val="minor"/>
      </rPr>
      <t>Purpose of the Template:</t>
    </r>
    <r>
      <rPr>
        <sz val="12"/>
        <color theme="1"/>
        <rFont val="Calibri"/>
        <family val="2"/>
        <scheme val="minor"/>
      </rPr>
      <t xml:space="preserve">  To help agencies conduct a benefit-cost analysis and calculate the ROI for the implementation of one or multiple e-Construction opportunities.
</t>
    </r>
    <r>
      <rPr>
        <b/>
        <sz val="12"/>
        <color theme="1"/>
        <rFont val="Calibri"/>
        <family val="2"/>
        <scheme val="minor"/>
      </rPr>
      <t xml:space="preserve">Organization of the Template: </t>
    </r>
    <r>
      <rPr>
        <sz val="12"/>
        <color theme="1"/>
        <rFont val="Calibri"/>
        <family val="2"/>
        <scheme val="minor"/>
      </rPr>
      <t xml:space="preserve">Each opportunity includes three components: Inputs (4 tabs); BCA calculations (1 tab) and general implementation timeline (1 tab). Table 1 (in the first tab) provides a description of the tabs used in the spreadsheet. Table 2 (in the previous tab) describes each type of tab in the tool. Each e-Construction opportunity is presented and defined in Table 3 (below). A worksheet at the end of the workboook includes benefits that could be derived from integrating various improvement opportunities.
</t>
    </r>
    <r>
      <rPr>
        <b/>
        <sz val="12"/>
        <color theme="1"/>
        <rFont val="Calibri"/>
        <family val="2"/>
        <scheme val="minor"/>
      </rPr>
      <t xml:space="preserve">NOTE: ONLY ADVANCED EXCEL USERS SHOULD ADD/DELETE ROWS OR COLUMNS, SINCE FORMULAS MAY BREAK IN THOSE CASES. GENERAL USERS SHOULD ONLY MODIFY VALUES IN INPUT CELLS. </t>
    </r>
  </si>
  <si>
    <t>This sheet provides estimated annual construction program size for state DOTs for which data was accessible. This information can be used to adjust base estimates provided in the template, which are for an agency with a construction program size of $800 million and around 300 projects per year.</t>
  </si>
  <si>
    <t xml:space="preserve">This sheet provides a dashboard of the benefits for each improvement opportunity both in tabular and graphical format. Table 5 and Charts 1 and 2 will refresh based on the data </t>
  </si>
  <si>
    <t>Chart 1. Summary of 7-Year ROI</t>
  </si>
  <si>
    <t>Chart 2. Summary of Breakeven Year</t>
  </si>
  <si>
    <t>Figure 1. Potential Implementation Timeline for Digital Review</t>
  </si>
  <si>
    <t>Figure 1. Potential Timeline for Electronic Bidding and Contract Award</t>
  </si>
  <si>
    <t>Figure 1. Potential Implementation Timeline for Project Construction Management</t>
  </si>
  <si>
    <t>Figure 1. Potential Timeline for Project Collaboration</t>
  </si>
  <si>
    <t>Figure 1. Potential Timeline for Digital As-Builts</t>
  </si>
  <si>
    <t>Table 4. Total Costs and Costs Incurred by Year for Digital Plans, Specifications, and Estimates</t>
  </si>
  <si>
    <t>Table 2. Anticipated Benefit Streams and Percentage Realized by Year for Digital Plans, Specifications, and Estimates</t>
  </si>
  <si>
    <t>Figure 1. Potential Implementation Timeline for Digital Plans, Specifications, and Estimates</t>
  </si>
  <si>
    <t>Figure 1. Potential Implementation Timeline for Mobile Devices.</t>
  </si>
  <si>
    <t>Table 2. Anticipated Benefit Streams and Percentage Realized by Year for Project Collaboration</t>
  </si>
  <si>
    <t>• Indiana DOT estimated an annual savings of $163,563, which include printing costs, shipping and time spent compiling bid tabs</t>
  </si>
  <si>
    <t>• Utah DOT anticipates saving $192,000 annually in plan production and distribution costs
• New Jersey DOT estimates it has saved around $150,000 per year by providing plan sheets exclusively electronically</t>
  </si>
  <si>
    <t xml:space="preserve">• Michigan DOT estimates an annual savings of $4 million annually on mail and delivery related costs and a reduction in over 6.7 million pieces of paper annually.
• Utah DOT anticipates saving $192,000 annually in plan production and distribution costs, plus a reduction in time spent preparing plans
• Iowa DOT estimated a savings of about $706 in printing and mailing costs on a $13.5 million project </t>
  </si>
  <si>
    <r>
      <rPr>
        <b/>
        <sz val="12"/>
        <color theme="1"/>
        <rFont val="Calibri"/>
        <family val="2"/>
        <scheme val="minor"/>
      </rPr>
      <t xml:space="preserve">Instructions: </t>
    </r>
    <r>
      <rPr>
        <sz val="12"/>
        <color theme="1"/>
        <rFont val="Calibri"/>
        <family val="2"/>
        <scheme val="minor"/>
      </rPr>
      <t xml:space="preserve">In Table 3, input the costs for staff that will be involved during implementation and ongoing system support.
</t>
    </r>
    <r>
      <rPr>
        <b/>
        <sz val="12"/>
        <color theme="1"/>
        <rFont val="Calibri"/>
        <family val="2"/>
        <scheme val="minor"/>
      </rPr>
      <t xml:space="preserve">Assumptions: 
</t>
    </r>
    <r>
      <rPr>
        <sz val="12"/>
        <color theme="1"/>
        <rFont val="Calibri"/>
        <family val="2"/>
        <scheme val="minor"/>
      </rPr>
      <t xml:space="preserve">Time (# of Years): This value is for the number of years the staff members will be required, and is based on the implementation timeline.
FTE: This is the expected Full Time Employee (FTE) equivalent dedicated to the implementation
Base Salary: This is the estimated base salary for the employee. This value may be obtained from HR and an average salary may be used.
Overhead Rate: This is the overhead rate used to account for fringe benefits, and can be obtained from HR
The column headers have abbreviations after the names to indicate whether the cell is an input, output, or note. (I) indicates the cell is an input. (O) indicates the cell is an output. (N) indicates the cell is a note and/or assumption. In addition, these cells are color coded: input cells are light orange, output cells are grey, and note/assumption cells are light yellow.
</t>
    </r>
    <r>
      <rPr>
        <b/>
        <sz val="12"/>
        <color theme="1"/>
        <rFont val="Calibri"/>
        <family val="2"/>
        <scheme val="minor"/>
      </rPr>
      <t xml:space="preserve">Note: </t>
    </r>
    <r>
      <rPr>
        <sz val="12"/>
        <color theme="1"/>
        <rFont val="Calibri"/>
        <family val="2"/>
        <scheme val="minor"/>
      </rPr>
      <t>It is assumed that digital review allows review and modifications of PDF documents. The cost of digital signatures is a part of the software that provides review of PDFs and accompanying certifications and audit trails. Additional costs and benefits through the use of mobile devices to digitally review documents are presented as a part of the "mobile" improvement opportunity.</t>
    </r>
  </si>
  <si>
    <r>
      <rPr>
        <b/>
        <sz val="12"/>
        <rFont val="Calibri"/>
        <family val="2"/>
        <scheme val="minor"/>
      </rPr>
      <t xml:space="preserve">Instructions: </t>
    </r>
    <r>
      <rPr>
        <sz val="12"/>
        <rFont val="Calibri"/>
        <family val="2"/>
        <scheme val="minor"/>
      </rPr>
      <t>Table 2 calculates the anticipated benefits by using the inputs entered in Table 1. The "calculations" column presents the formulas used.  The columns under "Percentage of Anticipated Benefits Realized on Annual Basis" should be used to enter the percentage of benefits realized over a 7-year period. A recommended set of percentages has been included, and can be modified based on agency estimates/experience. 
The column headers have abbreviations after the names to indicate whether the cell is an input, output, or note. (I) indicates the cell is an input. (O) indicates the cell is an output. (N) indicates the cell is a note and/or assumption. In addition, these cells are color coded: input cells are light orange, output cells are grey, and note/assumption cells are light yellow.</t>
    </r>
  </si>
  <si>
    <r>
      <rPr>
        <b/>
        <sz val="12"/>
        <rFont val="Calibri"/>
        <family val="2"/>
        <scheme val="minor"/>
      </rPr>
      <t xml:space="preserve">Instructions: </t>
    </r>
    <r>
      <rPr>
        <sz val="12"/>
        <rFont val="Calibri"/>
        <family val="2"/>
        <scheme val="minor"/>
      </rPr>
      <t>In Table 1, enter inputs for each of the benefits categories. The pre-populated values below are based on a hypothetical transportation agency with an $800 million construction program. These values should be adjusted based on the agency's estimates/experience. The "notes/assumptions" column provides additional information and the "benchmark data" column provides information gathered during this project from other agencies.
The column headers have abbreviations after the names to indicate whether the cell is an input, output, or note. (I) indicates the cell is an input. (O) indicates the cell is an output. (N) indicates the cell is a note and/or assumption. In addition, these cells are color coded: input cells are light orange, output cells are grey, and note/assumption cells are light yellow.</t>
    </r>
  </si>
  <si>
    <r>
      <rPr>
        <b/>
        <sz val="12"/>
        <rFont val="Calibri"/>
        <family val="2"/>
        <scheme val="minor"/>
      </rPr>
      <t xml:space="preserve">Instructions: </t>
    </r>
    <r>
      <rPr>
        <sz val="12"/>
        <rFont val="Calibri"/>
        <family val="2"/>
        <scheme val="minor"/>
      </rPr>
      <t>In Table 4, input the costs over the 7-year timeframe. The pre-populated values are based on the research team's prior experience and body of knowledge.
The column headers have abbreviations after the names to indicate whether the cell is an input, output, or note. (I) indicates the cell is an input. (O) indicates the cell is an output. (N) indicates the cell is a note and/or assumption. In addition, these cells are color coded: input cells are light orange, output cells are grey, and note/assumption cells are light yellow.</t>
    </r>
  </si>
  <si>
    <r>
      <rPr>
        <b/>
        <sz val="12"/>
        <rFont val="Calibri"/>
        <family val="2"/>
        <scheme val="minor"/>
      </rPr>
      <t xml:space="preserve">Instructions: </t>
    </r>
    <r>
      <rPr>
        <sz val="12"/>
        <rFont val="Calibri"/>
        <family val="2"/>
        <scheme val="minor"/>
      </rPr>
      <t xml:space="preserve">In Table 3, input the costs for staff that will be involved during implementation and ongoing system support.
</t>
    </r>
    <r>
      <rPr>
        <b/>
        <sz val="12"/>
        <rFont val="Calibri"/>
        <family val="2"/>
        <scheme val="minor"/>
      </rPr>
      <t xml:space="preserve">Assumptions: 
</t>
    </r>
    <r>
      <rPr>
        <sz val="12"/>
        <rFont val="Calibri"/>
        <family val="2"/>
        <scheme val="minor"/>
      </rPr>
      <t>Time (# of Years): This value is for the number of years the staff members will be required, and is based on the implementation timeline.
FTE: This is the expected Full Time Employee (FTE) equivalent dedicated to the implementation
Base Salary: This is the estimated base salary for the employee. This value may be obtained from HR and an average salary may be used.
Overhead Rate: This is the overhead rate used to account for fringe benefits, and can be obtained from HR
The column headers have abbreviations after the names to indicate whether the cell is an input, output, or note. (I) indicates the cell is an input. (O) indicates the cell is an output. (N) indicates the cell is a note and/or assumption. In addition, these cells are color coded: input cells are light orange, output cells are grey, and note/assumption cells are light yellow.</t>
    </r>
  </si>
  <si>
    <r>
      <rPr>
        <b/>
        <sz val="12"/>
        <rFont val="Calibri"/>
        <family val="2"/>
        <scheme val="minor"/>
      </rPr>
      <t xml:space="preserve">Instructions: </t>
    </r>
    <r>
      <rPr>
        <sz val="12"/>
        <rFont val="Calibri"/>
        <family val="2"/>
        <scheme val="minor"/>
      </rPr>
      <t xml:space="preserve">Table 2 calculates the anticipated benefits by using the inputs entered in Table 1. The "calculations" column presents the formulas used.  The columns under "Percentage of Anticipated Benefits Realized on Annual Basis" should be used to enter the percentage of benefits realized over a 7-year period. A recommended set of percentages has been included, and can be modified based on agency estimates/experience. 
The column headers have abbreviations after the names to indicate whether the cell is an input, output, or note. (I) indicates the cell is an input. (O) indicates the cell is an output. (N) indicates the cell is a note and/or assumption. In addition, these cells are color coded: input cells are light orange, output cells are grey, and note/assumption cells are light yellow.
</t>
    </r>
  </si>
  <si>
    <r>
      <rPr>
        <b/>
        <sz val="12"/>
        <rFont val="Calibri"/>
        <family val="2"/>
        <scheme val="minor"/>
      </rPr>
      <t xml:space="preserve">Instructions: </t>
    </r>
    <r>
      <rPr>
        <sz val="12"/>
        <rFont val="Calibri"/>
        <family val="2"/>
        <scheme val="minor"/>
      </rPr>
      <t>In Table 1, enter inputs for each of the benefits categories. The pre-populated values below are based on a hypothetical transportation agency with an $800 million construction program. These values should be adjusted based on the agency's estimates/experience. The "notes/assumptions" column provides additional information and the "benchmark data" column provides information gathered during this project from other agencies. 
The column headers have abbreviations after the names to indicate whether the cell is an input, output, or note. (I) indicates the cell is an input. (O) indicates the cell is an output. (N) indicates the cell is a note and/or assumption. In addition, these cells are color coded: input cells are light orange, output cells are grey, and note/assumption cells are light yellow.</t>
    </r>
  </si>
  <si>
    <r>
      <t xml:space="preserve">Instructions:  </t>
    </r>
    <r>
      <rPr>
        <sz val="12"/>
        <color theme="1"/>
        <rFont val="Calibri"/>
        <family val="2"/>
        <scheme val="minor"/>
      </rPr>
      <t>In Table 4, input the costs over the 7-year timeframe. The pre-populated values are based on the reserach team's prior experience and body of knowledge.
The column headers have abbreviations after the names to indicate whether the cell is an input, output, or note. (I) indicates the cell is an input. (O) indicates the cell is an output. (N) indicates the cell is a note and/or assumption. In addition, these cells are color coded: input cells are light orange, output cells are grey, and note/assumption cells are light yellow.</t>
    </r>
  </si>
  <si>
    <r>
      <rPr>
        <b/>
        <sz val="12"/>
        <color theme="1"/>
        <rFont val="Calibri"/>
        <family val="2"/>
        <scheme val="minor"/>
      </rPr>
      <t>Instructions:</t>
    </r>
    <r>
      <rPr>
        <sz val="12"/>
        <color theme="1"/>
        <rFont val="Calibri"/>
        <family val="2"/>
        <scheme val="minor"/>
      </rPr>
      <t xml:space="preserve"> In Table 3, input the costs for staff that will be involved during implementation and ongoing system support. 
The columns for this table are defined below.
</t>
    </r>
    <r>
      <rPr>
        <b/>
        <sz val="12"/>
        <color theme="1"/>
        <rFont val="Calibri"/>
        <family val="2"/>
        <scheme val="minor"/>
      </rPr>
      <t>Time (# of Years):</t>
    </r>
    <r>
      <rPr>
        <sz val="12"/>
        <color theme="1"/>
        <rFont val="Calibri"/>
        <family val="2"/>
        <scheme val="minor"/>
      </rPr>
      <t xml:space="preserve"> This value is for the number of years the staff members will be required, and is based on the implementation timeline.
</t>
    </r>
    <r>
      <rPr>
        <b/>
        <sz val="12"/>
        <color theme="1"/>
        <rFont val="Calibri"/>
        <family val="2"/>
        <scheme val="minor"/>
      </rPr>
      <t>FTE:</t>
    </r>
    <r>
      <rPr>
        <sz val="12"/>
        <color theme="1"/>
        <rFont val="Calibri"/>
        <family val="2"/>
        <scheme val="minor"/>
      </rPr>
      <t xml:space="preserve"> This is the expected Full Time Employee (FTE) equivalent dedicated to the implementation
</t>
    </r>
    <r>
      <rPr>
        <b/>
        <sz val="12"/>
        <color theme="1"/>
        <rFont val="Calibri"/>
        <family val="2"/>
        <scheme val="minor"/>
      </rPr>
      <t xml:space="preserve">Base Salary: </t>
    </r>
    <r>
      <rPr>
        <sz val="12"/>
        <color theme="1"/>
        <rFont val="Calibri"/>
        <family val="2"/>
        <scheme val="minor"/>
      </rPr>
      <t xml:space="preserve">This is the estimated base salary for the employee. This value may be obtained from HR and an average salary may be used.
</t>
    </r>
    <r>
      <rPr>
        <b/>
        <sz val="12"/>
        <color theme="1"/>
        <rFont val="Calibri"/>
        <family val="2"/>
        <scheme val="minor"/>
      </rPr>
      <t xml:space="preserve">Overhead Rate: </t>
    </r>
    <r>
      <rPr>
        <sz val="12"/>
        <color theme="1"/>
        <rFont val="Calibri"/>
        <family val="2"/>
        <scheme val="minor"/>
      </rPr>
      <t>This is the overhead rate used to account for fringe benefits, and can be obtained from HR     
The column headers have abbreviations after the names to indicate whether the cell is an input, output, or note. (I) indicates the cell is an input. (O) indicates the cell is an output. (N) indicates the cell is a note and/or assumption. In addition, these cells are color coded: input cells are light orange, output cells are grey, and note/assumption cells are light yellow.</t>
    </r>
  </si>
  <si>
    <r>
      <rPr>
        <b/>
        <sz val="12"/>
        <rFont val="Calibri"/>
        <family val="2"/>
        <scheme val="minor"/>
      </rPr>
      <t xml:space="preserve">Instructions: </t>
    </r>
    <r>
      <rPr>
        <sz val="12"/>
        <rFont val="Calibri"/>
        <family val="2"/>
        <scheme val="minor"/>
      </rPr>
      <t>Table 2 calculates the anticipated benefits by using the inputs entered in Table 1. The "calculations" column presents the formulas used.  The columns under "Percentage of Anticipated Benefits Realized on Annual Basis" should be used to enter the percentage of benefits realized over a 7-year period. A recommended set of percentages has been included, and can be modified based on agency estimates/experience.
The column headers have abbreviations after the names to indicate whether the cell is an input, output, or note. (I) indicates the cell is an input. (O) indicates the cell is an output. (N) indicates the cell is a note and/or assumption. In addition, these cells are color coded: input cells are light orange, output cells are grey, and note/assumption cells are light yellow.</t>
    </r>
  </si>
  <si>
    <t>Table 2. Anticipated Benefit Streams and Percentage Realized by Year for Digital Review</t>
  </si>
  <si>
    <t>Table 3. Staff Costs for Implementation and Ongoing Support for Digital Review</t>
  </si>
  <si>
    <r>
      <rPr>
        <b/>
        <sz val="12"/>
        <color theme="1"/>
        <rFont val="Calibri"/>
        <family val="2"/>
        <scheme val="minor"/>
      </rPr>
      <t>Instructions:</t>
    </r>
    <r>
      <rPr>
        <sz val="12"/>
        <color theme="1"/>
        <rFont val="Calibri"/>
        <family val="2"/>
        <scheme val="minor"/>
      </rPr>
      <t xml:space="preserve"> In Table 4, input the costs over the 7-year timeframe. The pre-populated values are based on the research team's prior experience and body of knowledge.
The column headers have abbreviations after the names to indicate whether the cell is an input, output, or note. (I) indicates the cell is an input. (O) indicates the cell is an output. (N) indicates the cell is a note and/or assumption. In addition, these cells are color coded: input cells are light orange, output cells are grey, and note/assumption cells are light yellow.
</t>
    </r>
    <r>
      <rPr>
        <b/>
        <sz val="12"/>
        <color theme="1"/>
        <rFont val="Calibri"/>
        <family val="2"/>
        <scheme val="minor"/>
      </rPr>
      <t>Note:</t>
    </r>
    <r>
      <rPr>
        <sz val="12"/>
        <color theme="1"/>
        <rFont val="Calibri"/>
        <family val="2"/>
        <scheme val="minor"/>
      </rPr>
      <t xml:space="preserve"> It is assumed that digital review allows review and modifications of PDF documents. The cost of digital signatures is a part of the software that provides review of PDFs and accompanying certifications and audit trails. Additional costs and benefits through the use of mobile devices to digitally review documents are presented as a part of the "mobile" improvement opportunity.
</t>
    </r>
  </si>
  <si>
    <r>
      <rPr>
        <b/>
        <sz val="12"/>
        <rFont val="Calibri"/>
        <family val="2"/>
        <scheme val="minor"/>
      </rPr>
      <t>Instructions:</t>
    </r>
    <r>
      <rPr>
        <sz val="12"/>
        <rFont val="Calibri"/>
        <family val="2"/>
        <scheme val="minor"/>
      </rPr>
      <t xml:space="preserve"> In Table 1, enter inputs for each of the benefits categories. The pre-populated values below are based on a hypothetical transportation agency with an $800 million construction program. These values should be adjusted based on the agency's estimates/experience. The "notes/assumptions" column provides additional information and the "benchmark data" column provides information gathered during this project from other agencies.
The column headers have abbreviations after the names to indicate whether the cell is an input, output, or note. (I) indicates the cell is an input. (O) indicates the cell is an output. (N) indicates the cell is a note and/or assumption. In addition, these cells are color coded: input cells are light orange, output cells are grey, and note/assumption cells are light yellow.</t>
    </r>
  </si>
  <si>
    <r>
      <rPr>
        <b/>
        <sz val="12"/>
        <rFont val="Calibri"/>
        <family val="2"/>
        <scheme val="minor"/>
      </rPr>
      <t>Instructions:</t>
    </r>
    <r>
      <rPr>
        <sz val="12"/>
        <rFont val="Calibri"/>
        <family val="2"/>
        <scheme val="minor"/>
      </rPr>
      <t xml:space="preserve"> Table 2 calculates the anticipated benefits by using the inputs entered in Table 1. The "calculations" column presents the formulas used.  The columns under "Percentage of Anticipated Benefits Realized on Annual Basis" should be used to enter the percentage of benefits realized over a 7-year period. A recommended set of percentages has been included, and can be modified based on agency estimates/experience.
The column headers have abbreviations after the names to indicate whether the cell is an input, output, or note. (I) indicates the cell is an input. (O) indicates the cell is an output. (N) indicates the cell is a note and/or assumption. In addition, these cells are color coded: input cells are light orange, output cells are grey, and note/assumption cells are light yellow.</t>
    </r>
  </si>
  <si>
    <r>
      <rPr>
        <b/>
        <sz val="12"/>
        <rFont val="Calibri"/>
        <family val="2"/>
        <scheme val="minor"/>
      </rPr>
      <t xml:space="preserve">Instructions: </t>
    </r>
    <r>
      <rPr>
        <sz val="12"/>
        <rFont val="Calibri"/>
        <family val="2"/>
        <scheme val="minor"/>
      </rPr>
      <t xml:space="preserve">In Table 3, input the costs for staff that will be involved during implementation and ongoing system support.
</t>
    </r>
    <r>
      <rPr>
        <b/>
        <sz val="12"/>
        <rFont val="Calibri"/>
        <family val="2"/>
        <scheme val="minor"/>
      </rPr>
      <t>Assumptions:</t>
    </r>
    <r>
      <rPr>
        <sz val="12"/>
        <rFont val="Calibri"/>
        <family val="2"/>
        <scheme val="minor"/>
      </rPr>
      <t xml:space="preserve">
Time (# of Years): This value is for the number of years the staff members will be required, and is based on the implementation timeline.
FTE: This is the expected Full Time Employee (FTE) equivalent dedicated to the implementation
Base Salary: This is the estimated base salary for the employee. This value may be obtained from HR and an average salary may be used.
Overhead Rate: This is the overhead rate used to account for fringe benefits, and can be obtained from HR
The column headers have abbreviations after the names to indicate whether the cell is an input, output, or note. (I) indicates the cell is an input. (O) indicates the cell is an output. (N) indicates the cell is a note and/or assumption. In addition, these cells are color coded: input cells are light orange, output cells are grey, and note/assumption cells are light yellow.</t>
    </r>
  </si>
  <si>
    <r>
      <rPr>
        <b/>
        <sz val="12"/>
        <rFont val="Calibri"/>
        <family val="2"/>
        <scheme val="minor"/>
      </rPr>
      <t xml:space="preserve">Instructions: </t>
    </r>
    <r>
      <rPr>
        <sz val="12"/>
        <rFont val="Calibri"/>
        <family val="2"/>
        <scheme val="minor"/>
      </rPr>
      <t xml:space="preserve">In Table 4, input the costs over the 7-year timeframe. The pre-populated values are based on the research team's prior experience and body of knowledge.
The column headers have abbreviations after the names to indicate whether the cell is an input, output, or note. (I) indicates the cell is an input. (O) indicates the cell is an output. (N) indicates the cell is a note and/or assumption. In addition, these cells are color coded: input cells are light orange, output cells are grey, and note/assumption cells are light yellow.
</t>
    </r>
  </si>
  <si>
    <t>Table 3. Staff Costs for Implementation and Ongoing Support for Project Construction Management</t>
  </si>
  <si>
    <r>
      <rPr>
        <b/>
        <sz val="12"/>
        <rFont val="Calibri"/>
        <family val="2"/>
        <scheme val="minor"/>
      </rPr>
      <t>Instructions:</t>
    </r>
    <r>
      <rPr>
        <sz val="12"/>
        <rFont val="Calibri"/>
        <family val="2"/>
        <scheme val="minor"/>
      </rPr>
      <t xml:space="preserve"> In Table 3, input the costs for staff that will be involved during implementation and ongoing system support. 
The column headers have abbreviations after the names to indicate whether the cell is an input, output, or note. (I) indicates the cell is an input. (O) indicates the cell is an output. (N) indicates the cell is a note and/or assumption. In addition, these cells are color coded: input cells are light orange, output cells are grey, and note/assumption cells are light yellow.
</t>
    </r>
    <r>
      <rPr>
        <b/>
        <sz val="12"/>
        <rFont val="Calibri"/>
        <family val="2"/>
        <scheme val="minor"/>
      </rPr>
      <t>Assumptions:</t>
    </r>
    <r>
      <rPr>
        <sz val="12"/>
        <rFont val="Calibri"/>
        <family val="2"/>
        <scheme val="minor"/>
      </rPr>
      <t xml:space="preserve">
Time (# of Years): This value is for the number of years the staff members will be required, and is based on the implementation timeline.
FTE: This is the expected Full Time Employee (FTE) equivalent dedicated to the implementation
Base Salary: This is the estimated base salary for the employee. This value may be obtained from HR and an average salary may be used.
Overhead Rate: This is the overhead rate used to account for fringe benefits, and can be obtained from HR
</t>
    </r>
    <r>
      <rPr>
        <b/>
        <sz val="12"/>
        <rFont val="Calibri"/>
        <family val="2"/>
        <scheme val="minor"/>
      </rPr>
      <t xml:space="preserve">Note: </t>
    </r>
    <r>
      <rPr>
        <sz val="12"/>
        <rFont val="Calibri"/>
        <family val="2"/>
        <scheme val="minor"/>
      </rPr>
      <t>Costs are assumed to be in addition to the digital review software (which is accounted for in the digital review improvement opportunity).</t>
    </r>
  </si>
  <si>
    <r>
      <rPr>
        <b/>
        <sz val="12"/>
        <rFont val="Calibri"/>
        <family val="2"/>
        <scheme val="minor"/>
      </rPr>
      <t>Instructions:</t>
    </r>
    <r>
      <rPr>
        <sz val="12"/>
        <rFont val="Calibri"/>
        <family val="2"/>
        <scheme val="minor"/>
      </rPr>
      <t xml:space="preserve"> In Table 4, input the costs over the 7-year timeframe. The pre-populated values are based on the research team's prior experience and body of knowledge.
The column headers have abbreviations after the names to indicate whether the cell is an input, output, or note. (I) indicates the cell is an input. (O) indicates the cell is an output. (N) indicates the cell is a note and/or assumption. In addition, these cells are color coded: input cells are light orange, output cells are grey, and note/assumption cells are light yellow.
</t>
    </r>
    <r>
      <rPr>
        <b/>
        <sz val="12"/>
        <rFont val="Calibri"/>
        <family val="2"/>
        <scheme val="minor"/>
      </rPr>
      <t>Note:</t>
    </r>
    <r>
      <rPr>
        <sz val="12"/>
        <rFont val="Calibri"/>
        <family val="2"/>
        <scheme val="minor"/>
      </rPr>
      <t xml:space="preserve"> Costs are assumed to be in addition to the digital review software (which is accounted for in the digital review improvement opportunity).</t>
    </r>
  </si>
  <si>
    <r>
      <rPr>
        <b/>
        <sz val="12"/>
        <rFont val="Calibri"/>
        <family val="2"/>
        <scheme val="minor"/>
      </rPr>
      <t xml:space="preserve">Instructions: </t>
    </r>
    <r>
      <rPr>
        <sz val="12"/>
        <rFont val="Calibri"/>
        <family val="2"/>
        <scheme val="minor"/>
      </rPr>
      <t xml:space="preserve">In Table 1, enter inputs for each of the benefits categories. The pre-populated values below are based on a hypothetical transportation agency with an $800 million construction program. These values should be adjusted based on the agency's estimates/experience. The "notes/assumptions" column provides additional information and the "benchmark data" column provides information gathered during this project from other agencies.
The column headers have abbreviations after the names to indicate whether the cell is an input, output, or note. (I) indicates the cell is an input. (O) indicates the cell is an output. (N) indicates the cell is a note and/or assumption. In addition, these cells are color coded: input cells are light orange, output cells are grey, and note/assumption cells are light yellow.
</t>
    </r>
    <r>
      <rPr>
        <b/>
        <sz val="12"/>
        <rFont val="Calibri"/>
        <family val="2"/>
        <scheme val="minor"/>
      </rPr>
      <t>Note:</t>
    </r>
    <r>
      <rPr>
        <sz val="12"/>
        <rFont val="Calibri"/>
        <family val="2"/>
        <scheme val="minor"/>
      </rPr>
      <t xml:space="preserve"> The process assumption is that as-builts are provided electronically, while benefits from electronic review before finalizing (red-lining) are captured as a part of the digital review process.</t>
    </r>
  </si>
  <si>
    <r>
      <rPr>
        <b/>
        <sz val="12"/>
        <rFont val="Calibri"/>
        <family val="2"/>
        <scheme val="minor"/>
      </rPr>
      <t xml:space="preserve">Instructions: </t>
    </r>
    <r>
      <rPr>
        <sz val="12"/>
        <rFont val="Calibri"/>
        <family val="2"/>
        <scheme val="minor"/>
      </rPr>
      <t xml:space="preserve">Table 2 calculates the anticipated benefits by using the inputs entered in Table 1. The "calculations" column presents the formulas used.  The columns under "Percentage of Anticipated Benefits Realized on Annual Basis" should be used to enter the percentage of benefits realized over a 7-year period. A recommended set of percentages has been included, and can be modified based on agency estimates/experience.
The column headers have abbreviations after the names to indicate whether the cell is an input, output, or note. (I) indicates the cell is an input. (O) indicates the cell is an output. (N) indicates the cell is a note and/or assumption. In addition, these cells are color coded: input cells are light orange, output cells are grey, and note/assumption cells are light yellow.
</t>
    </r>
    <r>
      <rPr>
        <b/>
        <sz val="12"/>
        <rFont val="Calibri"/>
        <family val="2"/>
        <scheme val="minor"/>
      </rPr>
      <t xml:space="preserve">Note: </t>
    </r>
    <r>
      <rPr>
        <sz val="12"/>
        <rFont val="Calibri"/>
        <family val="2"/>
        <scheme val="minor"/>
      </rPr>
      <t>The process assumption is that as-builts are provided electronically, while benefits from electronic review before finalizing (red-lining) are captured as a part of the digital review process.</t>
    </r>
  </si>
  <si>
    <r>
      <rPr>
        <b/>
        <sz val="12"/>
        <rFont val="Calibri"/>
        <family val="2"/>
        <scheme val="minor"/>
      </rPr>
      <t xml:space="preserve">Instructions: </t>
    </r>
    <r>
      <rPr>
        <sz val="12"/>
        <rFont val="Calibri"/>
        <family val="2"/>
        <scheme val="minor"/>
      </rPr>
      <t xml:space="preserve">In Table 3, input the costs for staff that will be involved during implementation and ongoing system support.
</t>
    </r>
    <r>
      <rPr>
        <b/>
        <sz val="12"/>
        <rFont val="Calibri"/>
        <family val="2"/>
        <scheme val="minor"/>
      </rPr>
      <t xml:space="preserve">Assumptions:
</t>
    </r>
    <r>
      <rPr>
        <sz val="12"/>
        <rFont val="Calibri"/>
        <family val="2"/>
        <scheme val="minor"/>
      </rPr>
      <t xml:space="preserve">Time (# of Years): This value is for the number of years the staff members will be required, and is based on the implementation timeline.
FTE: This is the expected Full Time Employee (FTE) equivalent dedicated to the implementation
Base Salary: This is the estimated base salary for the employee. This value may be obtained from HR and an average salary may be used.
Overhead Rate: This is the overhead rate used to account for fringe benefits, and can be obtained from HR
The column headers have abbreviations after the names to indicate whether the cell is an input, output, or note. (I) indicates the cell is an input. (O) indicates the cell is an output. (N) indicates the cell is a note and/or assumption. In addition, these cells are color coded: input cells are light orange, output cells are grey, and note/assumption cells are light yellow.
</t>
    </r>
    <r>
      <rPr>
        <b/>
        <sz val="12"/>
        <rFont val="Calibri"/>
        <family val="2"/>
        <scheme val="minor"/>
      </rPr>
      <t xml:space="preserve">Note: </t>
    </r>
    <r>
      <rPr>
        <sz val="12"/>
        <rFont val="Calibri"/>
        <family val="2"/>
        <scheme val="minor"/>
      </rPr>
      <t>Costs associated with preparing as-builts electronically will be a part of the contractor's bid. Given D-B-B projects are awarded to the lowest bidder, it is assumed that the cost increase per construction program will be minimal. It is also assumed that agencies have licenses for AutoCAD or Bentley MicroStation to view as-builts.</t>
    </r>
  </si>
  <si>
    <r>
      <rPr>
        <b/>
        <sz val="12"/>
        <rFont val="Calibri"/>
        <family val="2"/>
        <scheme val="minor"/>
      </rPr>
      <t xml:space="preserve">Instructions: </t>
    </r>
    <r>
      <rPr>
        <sz val="12"/>
        <rFont val="Calibri"/>
        <family val="2"/>
        <scheme val="minor"/>
      </rPr>
      <t xml:space="preserve"> In Table 4, input the costs over the 7-year timeframe. The pre-populated values are based on the research team's prior experience and body of knowledge.
The column headers have abbreviations after the names to indicate whether the cell is an input, output, or note. (I) indicates the cell is an input. (O) indicates the cell is an output. (N) indicates the cell is a note and/or assumption. In addition, these cells are color coded: input cells are light orange, output cells are grey, and note/assumption cells are light yellow.
</t>
    </r>
    <r>
      <rPr>
        <b/>
        <sz val="12"/>
        <rFont val="Calibri"/>
        <family val="2"/>
        <scheme val="minor"/>
      </rPr>
      <t xml:space="preserve">Note: </t>
    </r>
    <r>
      <rPr>
        <sz val="12"/>
        <rFont val="Calibri"/>
        <family val="2"/>
        <scheme val="minor"/>
      </rPr>
      <t>Costs associated with preparing as-builts electronically will be a part of the contractor's bid. Given D-B-B projects are awarded to the lowest bidder, it is assumed that the cost increase per construction program will be minimal. It is also assumed that agencies have licenses for AutoCAD or Bentley MicroStation to view as-builts.</t>
    </r>
  </si>
  <si>
    <r>
      <rPr>
        <b/>
        <sz val="12"/>
        <rFont val="Calibri"/>
        <family val="2"/>
        <scheme val="minor"/>
      </rPr>
      <t xml:space="preserve">Instructions: </t>
    </r>
    <r>
      <rPr>
        <sz val="12"/>
        <rFont val="Calibri"/>
        <family val="2"/>
        <scheme val="minor"/>
      </rPr>
      <t xml:space="preserve">In Table 1, enter inputs for each of the benefits categories. The pre-populated values below are based on a hypothetical transportation agency with an $800 million construction program. These values should be adjusted based on the agency's estimates/experience. The "notes/assumptions" column provides additional information and the "benchmark data" column provides information gathered during this project from other agencies.
The column headers have abbreviations after the names to indicate whether the cell is an input, output, or note. (I) indicates the cell is an input. (O) indicates the cell is an output. (N) indicates the cell is a note and/or assumption. In addition, these cells are color coded: input cells are light orange, output cells are grey, and note/assumption cells are light yellow.
</t>
    </r>
    <r>
      <rPr>
        <b/>
        <sz val="12"/>
        <rFont val="Calibri"/>
        <family val="2"/>
        <scheme val="minor"/>
      </rPr>
      <t xml:space="preserve">Note: </t>
    </r>
    <r>
      <rPr>
        <sz val="12"/>
        <rFont val="Calibri"/>
        <family val="2"/>
        <scheme val="minor"/>
      </rPr>
      <t>Cost savings obtained from mobile devices are only maximized when mobile devices are integrated with the agency's construction management suite, which can process the data collected directly, or a data collection tool that can integrate the data collected with the construction management suite.</t>
    </r>
  </si>
  <si>
    <r>
      <rPr>
        <b/>
        <sz val="12"/>
        <rFont val="Calibri"/>
        <family val="2"/>
        <scheme val="minor"/>
      </rPr>
      <t xml:space="preserve">Instructions: </t>
    </r>
    <r>
      <rPr>
        <sz val="12"/>
        <rFont val="Calibri"/>
        <family val="2"/>
        <scheme val="minor"/>
      </rPr>
      <t xml:space="preserve">Table 2 calculates the anticipated benefits by using the inputs entered in Table 1. The "calculations" column presents the formulas used. The columns under "Percentage of Anticipated Benefits Realized on Annual Basis" should be used to enter the percentage of benefits realized over a 7-year period. A recommended set of percentages has been included, and can be modified based on agency estimates/experience. 
The column headers have abbreviations after the names to indicate whether the cell is an input, output, or note. (I) indicates the cell is an input. (O) indicates the cell is an output. (N) indicates the cell is a note and/or assumption. In addition, these cells are color coded: input cells are light orange, output cells are grey, and note/assumption cells are light yellow.
</t>
    </r>
    <r>
      <rPr>
        <b/>
        <sz val="12"/>
        <rFont val="Calibri"/>
        <family val="2"/>
        <scheme val="minor"/>
      </rPr>
      <t xml:space="preserve">Note: </t>
    </r>
    <r>
      <rPr>
        <sz val="12"/>
        <rFont val="Calibri"/>
        <family val="2"/>
        <scheme val="minor"/>
      </rPr>
      <t>Cost savings obtained from mobile devices are only maximized when mobile devices are integrated with the agency's construction management suite, which can process the data collected directly, or a data collection tool that can integrate the data collected with the construction management suite.</t>
    </r>
  </si>
  <si>
    <r>
      <rPr>
        <b/>
        <sz val="12"/>
        <rFont val="Calibri"/>
        <family val="2"/>
        <scheme val="minor"/>
      </rPr>
      <t xml:space="preserve">Instructions: </t>
    </r>
    <r>
      <rPr>
        <sz val="12"/>
        <rFont val="Calibri"/>
        <family val="2"/>
        <scheme val="minor"/>
      </rPr>
      <t xml:space="preserve">In Table 3, input the costs for staff that will be involved during implementation and ongoing system support. 
</t>
    </r>
    <r>
      <rPr>
        <b/>
        <sz val="12"/>
        <rFont val="Calibri"/>
        <family val="2"/>
        <scheme val="minor"/>
      </rPr>
      <t>Assumptions:</t>
    </r>
    <r>
      <rPr>
        <sz val="12"/>
        <rFont val="Calibri"/>
        <family val="2"/>
        <scheme val="minor"/>
      </rPr>
      <t xml:space="preserve">
Time (# of Years): This value is for the number of years the staff members will be required, and is based on the implementation timeline.
FTE: This is the expected Full Time Employee (FTE) equivalent dedicated to the implementation
Base Salary: This is the estimated base salary for the employee. This value may be obtained from HR and an average salary may be used.
Overhead Rate: This is the overhead rate used to account for fringe benefits, and can be obtained from HR
The column headers have abbreviations after the names to indicate whether the cell is an input, output, or note. (I) indicates the cell is an input. (O) indicates the cell is an output. (N) indicates the cell is a note and/or assumption. In addition, these cells are color coded: input cells are light orange, output cells are grey, and note/assumption cells are light yellow.</t>
    </r>
  </si>
  <si>
    <r>
      <rPr>
        <b/>
        <sz val="12"/>
        <rFont val="Calibri"/>
        <family val="2"/>
        <scheme val="minor"/>
      </rPr>
      <t>Instructions:</t>
    </r>
    <r>
      <rPr>
        <sz val="12"/>
        <rFont val="Calibri"/>
        <family val="2"/>
        <scheme val="minor"/>
      </rPr>
      <t xml:space="preserve"> In Table 4, input the costs over the 7-year timeframe. The pre-populated values are based on the research team's prior experience and body of knowledge.
The column headers have abbreviations after the names to indicate whether the cell is an input, output, or note. (I) indicates the cell is an input. (O) indicates the cell is an output. (N) indicates the cell is a note and/or assumption. In addition, these cells are color coded: input cells are light orange, output cells are grey, and note/assumption cells are light yellow.</t>
    </r>
  </si>
  <si>
    <t>Table 3. Staff Costs for Implementation and Ongoing Support for Project Collaboration</t>
  </si>
  <si>
    <t xml:space="preserve">Table 2. Anticipated Benefit Streams and Percentage Realized by Year for Digital As-Builts
</t>
  </si>
  <si>
    <t>Table 3. Staff Costs for Implementation and Ongoing Support for Digital As-Builts</t>
  </si>
  <si>
    <t>Table 2. Anticipated Benefit Streams and Percentage Realized by Year for Mobile Devices</t>
  </si>
  <si>
    <t>Table 3. Staff Costs for Implementation and Ongoing Support for Mobile Devices</t>
  </si>
  <si>
    <t>Benefits (Qualitative) (I)</t>
  </si>
  <si>
    <t>Benefits (Quantifiable) (O)</t>
  </si>
  <si>
    <t>Total (O)</t>
  </si>
  <si>
    <t>Year 1 (O)</t>
  </si>
  <si>
    <t>Year 2 (O)</t>
  </si>
  <si>
    <t>Year 3 (O)</t>
  </si>
  <si>
    <t>Year 4 (O)</t>
  </si>
  <si>
    <t>Year 5 (O)</t>
  </si>
  <si>
    <t>Year 6 (O)</t>
  </si>
  <si>
    <t>Year 7 (O)</t>
  </si>
  <si>
    <t>Costs (O)</t>
  </si>
  <si>
    <r>
      <rPr>
        <b/>
        <sz val="12"/>
        <color theme="1"/>
        <rFont val="Calibri"/>
        <family val="2"/>
        <scheme val="minor"/>
      </rPr>
      <t xml:space="preserve">Instructions: </t>
    </r>
    <r>
      <rPr>
        <sz val="12"/>
        <color theme="1"/>
        <rFont val="Calibri"/>
        <family val="2"/>
        <scheme val="minor"/>
      </rPr>
      <t xml:space="preserve">This worksheet automatically calculates the Benefit Cost Analysis, based on the inputs (for both benefits and costs) provided in the previous tabs for Electronic Bidding and Contract Award. The tables calculate benefits, costs, and net benefit and cumulative benefit. The bottom of the sheet calculates the breakevent year, return on investment, average annual cost, and average annual net benefit. The timeframe for which the return on investment is calculated can be adjusted in the dropdown menu. This will also change the timeframe for which average annual cost and average annual net benefit is calculated.
In addition, the user can enter qualitative benefits (below) that are not captured in the quantitative benefits. This is the only portion of this tab that requires user input. All other cells are outputs, as indicated by the (O) after each column name. </t>
    </r>
  </si>
  <si>
    <r>
      <rPr>
        <b/>
        <sz val="12"/>
        <color theme="1"/>
        <rFont val="Calibri"/>
        <family val="2"/>
        <scheme val="minor"/>
      </rPr>
      <t xml:space="preserve">Instructions: </t>
    </r>
    <r>
      <rPr>
        <sz val="12"/>
        <color theme="1"/>
        <rFont val="Calibri"/>
        <family val="2"/>
        <scheme val="minor"/>
      </rPr>
      <t xml:space="preserve">This worksheet automatically calculates the Benefit Cost Analysis, based on the inputs (for both benefits and costs) provided in the previous tabs for Digital Plans, Specifications, and Estimates. The tables calculate benefits, costs, and net benefit and cumulative benefit. The bottom of the sheet calculates the breakevent year, return on investment, average annual cost, and average annual net benefit. The timeframe for which the return on investment is calculated can be adjusted in the dropdown menu. This will also change the timeframe for which average annual cost and average annual net benefit is calculated.
In addition, the user can enter qualitative benefits (below) that are not captured in the quantitative benefits. This is the only portion of this tab that requires user input. All other cells are outputs, as indicated by the (O) after each column name. </t>
    </r>
  </si>
  <si>
    <r>
      <rPr>
        <b/>
        <sz val="12"/>
        <color theme="1"/>
        <rFont val="Calibri"/>
        <family val="2"/>
        <scheme val="minor"/>
      </rPr>
      <t>Instructions:</t>
    </r>
    <r>
      <rPr>
        <sz val="12"/>
        <color theme="1"/>
        <rFont val="Calibri"/>
        <family val="2"/>
        <scheme val="minor"/>
      </rPr>
      <t xml:space="preserve"> This worksheet automatically calculates the Benefit Cost Analysis, based on the inputs (for both benefits and costs) provided in the previous tabs for Digital Review. The tables calculate benefits, costs, and net benefit and cumulative benefit. The bottom of the sheet calculates the breakevent year, return on investment, average annual cost, and average annual net benefit. The timeframe for which the return on investment is calculated can be adjusted in the dropdown menu. This will also change the timeframe for which average annual cost and average annual net benefit is calculated.
In addition, the user can enter qualitative benefits (below) that are not captured in the quantitative benefits. This is the only portion of this tab that requires user input. All other cells are outputs, as indicated by the (O) after each column name. </t>
    </r>
  </si>
  <si>
    <r>
      <rPr>
        <b/>
        <sz val="12"/>
        <color theme="1"/>
        <rFont val="Calibri"/>
        <family val="2"/>
        <scheme val="minor"/>
      </rPr>
      <t xml:space="preserve">Instructions: </t>
    </r>
    <r>
      <rPr>
        <sz val="12"/>
        <color theme="1"/>
        <rFont val="Calibri"/>
        <family val="2"/>
        <scheme val="minor"/>
      </rPr>
      <t xml:space="preserve">This worksheet automatically calculates the Benefit Cost Analysis, based on the inputs (for both benefits and costs) provided in the previous tabs for Project Construction Management. The tables calculate benefits, costs, and net benefit and cumulative benefit. The bottom of the sheet calculates the breakevent year, return on investment, average annual cost, and average annual net benefit. The timeframe for which the return on investment is calculated can be adjusted in the dropdown menu. This will also change the timeframe for which average annual cost and average annual net benefit is calculated.
In addition, the user can enter qualitative benefits (below) that are not captured in the quantitative benefits. This is the only portion of this tab that requires user input. All other cells are outputs, as indicated by the (O) after each column name. </t>
    </r>
  </si>
  <si>
    <r>
      <rPr>
        <b/>
        <sz val="12"/>
        <color theme="1"/>
        <rFont val="Calibri"/>
        <family val="2"/>
        <scheme val="minor"/>
      </rPr>
      <t xml:space="preserve">Instructions: </t>
    </r>
    <r>
      <rPr>
        <sz val="12"/>
        <color theme="1"/>
        <rFont val="Calibri"/>
        <family val="2"/>
        <scheme val="minor"/>
      </rPr>
      <t xml:space="preserve">This worksheet automatically calculates the Benefit Cost Analysis, based on the inputs (for both benefits and costs) provided in the previous tabs for Project Collaboration. The tables calculate benefits, costs, and net benefit and cumulative benefit. The bottom of the sheet calculates the breakevent year, return on investment, average annual cost, and average annual net benefit. The timeframe for which the return on investment is calculated can be adjusted in the dropdown menu. This will also change the timeframe for which average annual cost and average annual net benefit is calculated.
In addition, the user can enter qualitative benefits (below) that are not captured in the quantitative benefits. This is the only portion of this tab that requires user input. All other cells are outputs, as indicated by the (O) after each column name. </t>
    </r>
  </si>
  <si>
    <r>
      <rPr>
        <b/>
        <sz val="12"/>
        <color theme="1"/>
        <rFont val="Calibri"/>
        <family val="2"/>
        <scheme val="minor"/>
      </rPr>
      <t>Instructions:</t>
    </r>
    <r>
      <rPr>
        <b/>
        <i/>
        <sz val="12"/>
        <color theme="1"/>
        <rFont val="Calibri"/>
        <family val="2"/>
        <scheme val="minor"/>
      </rPr>
      <t xml:space="preserve"> </t>
    </r>
    <r>
      <rPr>
        <sz val="12"/>
        <color theme="1"/>
        <rFont val="Calibri"/>
        <family val="2"/>
        <scheme val="minor"/>
      </rPr>
      <t xml:space="preserve">This worksheet automatically calculates the Benefit Cost Analysis, based on the inputs (for both benefits and costs) provided in the previous tabs for Digital As-Builts. The tables calculate benefits, costs, and net benefit and cumulative benefit. The bottom of the sheet calculates the breakevent year, return on investment, average annual cost, and average annual net benefit. The timeframe for which the return on investment is calculated can be adjusted in the dropdown menu. This will also change the timeframe for which average annual cost and average annual net benefit is calculated.
In addition, the user can enter qualitative benefits (below) that are not captured in the quantitative benefits. This is the only portion of this tab that requires user input. All other cells are outputs, as indicated by the (O) after each column name. </t>
    </r>
  </si>
  <si>
    <r>
      <rPr>
        <b/>
        <i/>
        <sz val="12"/>
        <color theme="1"/>
        <rFont val="Calibri"/>
        <family val="2"/>
        <scheme val="minor"/>
      </rPr>
      <t xml:space="preserve">Instructions: </t>
    </r>
    <r>
      <rPr>
        <sz val="12"/>
        <color theme="1"/>
        <rFont val="Calibri"/>
        <family val="2"/>
        <scheme val="minor"/>
      </rPr>
      <t xml:space="preserve">This worksheet automatically calculates the Benefit Cost Analysis, based on the inputs (for both benefits and costs) provided in the previous tabs for Mobile Devices. The tables calculate benefits, costs, and net benefit and cumulative benefit. The bottom of the sheet calculates the breakevent year, return on investment, average annual cost, and average annual net benefit. The timeframe for which the return on investment is calculated can be adjusted in the dropdown menu. This will also change the timeframe for which average annual cost and average annual net benefit is calculated.
In addition, the user can enter qualitative benefits (below) that are not captured in the quantitative benefits. This is the only portion of this tab that requires user input. All other cells are outputs, as indicated by the (O) after each column name.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</si>
</sst>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4">
    <numFmt numFmtId="6" formatCode="&quot;$&quot;#,##0_);[Red]\(&quot;$&quot;#,##0\)"/>
    <numFmt numFmtId="8" formatCode="&quot;$&quot;#,##0.00_);[Red]\(&quot;$&quot;#,##0.00\)"/>
    <numFmt numFmtId="41" formatCode="_(* #,##0_);_(* \(#,##0\);_(* &quot;-&quot;_);_(@_)"/>
    <numFmt numFmtId="44" formatCode="_(&quot;$&quot;* #,##0.00_);_(&quot;$&quot;* \(#,##0.00\);_(&quot;$&quot;* &quot;-&quot;??_);_(@_)"/>
    <numFmt numFmtId="43" formatCode="_(* #,##0.00_);_(* \(#,##0.00\);_(* &quot;-&quot;??_);_(@_)"/>
    <numFmt numFmtId="164" formatCode="_(&quot;$&quot;* #,##0_);_(&quot;$&quot;* \(#,##0\);_(&quot;$&quot;* &quot;-&quot;??_);_(@_)"/>
    <numFmt numFmtId="165" formatCode="_(* #,##0_);_(* \(#,##0\);_(* &quot;-&quot;??_);_(@_)"/>
    <numFmt numFmtId="166" formatCode="0.0%"/>
    <numFmt numFmtId="167" formatCode="&quot;$&quot;#,##0"/>
    <numFmt numFmtId="168" formatCode="0.000%"/>
    <numFmt numFmtId="169" formatCode="0.000000"/>
    <numFmt numFmtId="170" formatCode="0.00000%"/>
    <numFmt numFmtId="171" formatCode="_(&quot;$&quot;* #,##0.0_);_(&quot;$&quot;* \(#,##0.0\);_(&quot;$&quot;* &quot;-&quot;?_);_(@_)"/>
    <numFmt numFmtId="172" formatCode="_(&quot;$&quot;* #,##0_);_(&quot;$&quot;* \(#,##0\);_(&quot;$&quot;* &quot;-&quot;?_);_(@_)"/>
  </numFmts>
  <fonts count="41" x14ac:knownFonts="1">
    <font>
      <sz val="11"/>
      <color theme="1"/>
      <name val="Calibri"/>
      <family val="2"/>
      <scheme val="minor"/>
    </font>
    <font>
      <b/>
      <sz val="11"/>
      <color theme="1"/>
      <name val="Calibri"/>
      <family val="2"/>
      <scheme val="minor"/>
    </font>
    <font>
      <b/>
      <i/>
      <sz val="11"/>
      <color theme="1"/>
      <name val="Calibri"/>
      <family val="2"/>
      <scheme val="minor"/>
    </font>
    <font>
      <sz val="11"/>
      <color theme="1"/>
      <name val="Calibri"/>
      <family val="2"/>
      <scheme val="minor"/>
    </font>
    <font>
      <sz val="11"/>
      <color theme="1"/>
      <name val="Calibri"/>
      <family val="2"/>
    </font>
    <font>
      <b/>
      <sz val="11"/>
      <color theme="0"/>
      <name val="Calibri"/>
      <family val="2"/>
      <scheme val="minor"/>
    </font>
    <font>
      <sz val="11"/>
      <color theme="0"/>
      <name val="Calibri"/>
      <family val="2"/>
      <scheme val="minor"/>
    </font>
    <font>
      <b/>
      <sz val="14"/>
      <color theme="1"/>
      <name val="Calibri"/>
      <family val="2"/>
      <scheme val="minor"/>
    </font>
    <font>
      <sz val="12"/>
      <color theme="1"/>
      <name val="Calibri"/>
      <family val="2"/>
      <scheme val="minor"/>
    </font>
    <font>
      <b/>
      <sz val="14"/>
      <color theme="0"/>
      <name val="Calibri"/>
      <family val="2"/>
      <scheme val="minor"/>
    </font>
    <font>
      <sz val="11"/>
      <color rgb="FFFF0000"/>
      <name val="Calibri"/>
      <family val="2"/>
      <scheme val="minor"/>
    </font>
    <font>
      <sz val="10"/>
      <color theme="1"/>
      <name val="Calibri Light"/>
      <family val="2"/>
    </font>
    <font>
      <b/>
      <sz val="10"/>
      <color theme="1"/>
      <name val="Calibri"/>
      <family val="2"/>
      <scheme val="minor"/>
    </font>
    <font>
      <sz val="10"/>
      <color theme="1"/>
      <name val="Calibri"/>
      <family val="2"/>
      <scheme val="minor"/>
    </font>
    <font>
      <b/>
      <sz val="10"/>
      <color theme="0"/>
      <name val="Calibri"/>
      <family val="2"/>
      <scheme val="minor"/>
    </font>
    <font>
      <sz val="11"/>
      <color rgb="FFC00000"/>
      <name val="Calibri"/>
      <family val="2"/>
      <scheme val="minor"/>
    </font>
    <font>
      <b/>
      <sz val="12"/>
      <color theme="1"/>
      <name val="Calibri"/>
      <family val="2"/>
      <scheme val="minor"/>
    </font>
    <font>
      <sz val="12"/>
      <color theme="1"/>
      <name val="Calibri"/>
      <family val="2"/>
    </font>
    <font>
      <b/>
      <sz val="12"/>
      <color theme="4"/>
      <name val="Calibri"/>
      <family val="2"/>
      <scheme val="minor"/>
    </font>
    <font>
      <b/>
      <sz val="12"/>
      <name val="Calibri"/>
      <family val="2"/>
      <scheme val="minor"/>
    </font>
    <font>
      <sz val="12"/>
      <name val="Calibri"/>
      <family val="2"/>
      <scheme val="minor"/>
    </font>
    <font>
      <sz val="14"/>
      <color rgb="FF000000"/>
      <name val="Calibri"/>
      <family val="2"/>
      <scheme val="minor"/>
    </font>
    <font>
      <b/>
      <sz val="16"/>
      <color theme="3" tint="-0.499984740745262"/>
      <name val="Calibri"/>
      <family val="2"/>
      <scheme val="minor"/>
    </font>
    <font>
      <b/>
      <sz val="14"/>
      <color theme="3" tint="-0.499984740745262"/>
      <name val="Calibri"/>
      <family val="2"/>
      <scheme val="minor"/>
    </font>
    <font>
      <b/>
      <sz val="12"/>
      <color theme="3" tint="-0.499984740745262"/>
      <name val="Calibri"/>
      <family val="2"/>
      <scheme val="minor"/>
    </font>
    <font>
      <sz val="12"/>
      <color theme="3" tint="-0.499984740745262"/>
      <name val="Calibri"/>
      <family val="2"/>
      <scheme val="minor"/>
    </font>
    <font>
      <b/>
      <sz val="14"/>
      <name val="Calibri"/>
      <family val="2"/>
      <scheme val="minor"/>
    </font>
    <font>
      <b/>
      <sz val="16"/>
      <name val="Calibri"/>
      <family val="2"/>
      <scheme val="minor"/>
    </font>
    <font>
      <sz val="12"/>
      <color rgb="FFFF0000"/>
      <name val="Calibri"/>
      <family val="2"/>
      <scheme val="minor"/>
    </font>
    <font>
      <sz val="12"/>
      <color theme="0"/>
      <name val="Calibri"/>
      <family val="2"/>
      <scheme val="minor"/>
    </font>
    <font>
      <b/>
      <sz val="12"/>
      <color theme="0"/>
      <name val="Calibri"/>
      <family val="2"/>
      <scheme val="minor"/>
    </font>
    <font>
      <b/>
      <sz val="12"/>
      <color theme="3"/>
      <name val="Calibri"/>
      <family val="2"/>
      <scheme val="minor"/>
    </font>
    <font>
      <i/>
      <sz val="12"/>
      <color theme="1"/>
      <name val="Calibri"/>
      <family val="2"/>
      <scheme val="minor"/>
    </font>
    <font>
      <i/>
      <sz val="12"/>
      <color theme="0"/>
      <name val="Calibri"/>
      <family val="2"/>
      <scheme val="minor"/>
    </font>
    <font>
      <sz val="12"/>
      <color theme="7"/>
      <name val="Calibri"/>
      <family val="2"/>
      <scheme val="minor"/>
    </font>
    <font>
      <b/>
      <i/>
      <sz val="12"/>
      <color theme="1"/>
      <name val="Calibri"/>
      <family val="2"/>
      <scheme val="minor"/>
    </font>
    <font>
      <sz val="12"/>
      <color rgb="FF000000"/>
      <name val="Calibri"/>
      <family val="2"/>
      <scheme val="minor"/>
    </font>
    <font>
      <b/>
      <sz val="12"/>
      <color theme="0"/>
      <name val="Calibri"/>
      <family val="2"/>
    </font>
    <font>
      <sz val="12"/>
      <name val="Calibri"/>
      <family val="2"/>
    </font>
    <font>
      <sz val="12"/>
      <color theme="1"/>
      <name val="Calibri Light"/>
      <family val="2"/>
    </font>
    <font>
      <b/>
      <sz val="12"/>
      <color rgb="FFFF0000"/>
      <name val="Calibri"/>
      <family val="2"/>
      <scheme val="minor"/>
    </font>
  </fonts>
  <fills count="11">
    <fill>
      <patternFill patternType="none"/>
    </fill>
    <fill>
      <patternFill patternType="gray125"/>
    </fill>
    <fill>
      <patternFill patternType="solid">
        <fgColor theme="0" tint="-0.249977111117893"/>
        <bgColor indexed="64"/>
      </patternFill>
    </fill>
    <fill>
      <patternFill patternType="solid">
        <fgColor rgb="FF008A3E"/>
        <bgColor indexed="64"/>
      </patternFill>
    </fill>
    <fill>
      <patternFill patternType="solid">
        <fgColor theme="0"/>
        <bgColor indexed="64"/>
      </patternFill>
    </fill>
    <fill>
      <patternFill patternType="solid">
        <fgColor theme="0" tint="-0.499984740745262"/>
        <bgColor indexed="64"/>
      </patternFill>
    </fill>
    <fill>
      <patternFill patternType="solid">
        <fgColor theme="3" tint="-0.499984740745262"/>
        <bgColor indexed="64"/>
      </patternFill>
    </fill>
    <fill>
      <patternFill patternType="solid">
        <fgColor theme="0" tint="-0.14999847407452621"/>
        <bgColor indexed="64"/>
      </patternFill>
    </fill>
    <fill>
      <patternFill patternType="solid">
        <fgColor rgb="FFFFCC99"/>
      </patternFill>
    </fill>
    <fill>
      <patternFill patternType="solid">
        <fgColor rgb="FFFFFFCC"/>
      </patternFill>
    </fill>
    <fill>
      <patternFill patternType="solid">
        <fgColor theme="0" tint="-0.24994659260841701"/>
        <bgColor indexed="64"/>
      </patternFill>
    </fill>
  </fills>
  <borders count="44">
    <border>
      <left/>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right style="medium">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medium">
        <color auto="1"/>
      </left>
      <right/>
      <top style="medium">
        <color auto="1"/>
      </top>
      <bottom style="medium">
        <color indexed="64"/>
      </bottom>
      <diagonal/>
    </border>
    <border>
      <left/>
      <right/>
      <top style="medium">
        <color auto="1"/>
      </top>
      <bottom style="medium">
        <color indexed="64"/>
      </bottom>
      <diagonal/>
    </border>
    <border>
      <left/>
      <right style="medium">
        <color indexed="64"/>
      </right>
      <top style="medium">
        <color auto="1"/>
      </top>
      <bottom style="medium">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right/>
      <top/>
      <bottom style="thin">
        <color indexed="64"/>
      </bottom>
      <diagonal/>
    </border>
    <border>
      <left style="thin">
        <color indexed="64"/>
      </left>
      <right/>
      <top/>
      <bottom/>
      <diagonal/>
    </border>
    <border>
      <left style="thin">
        <color theme="4" tint="0.39997558519241921"/>
      </left>
      <right/>
      <top style="thin">
        <color theme="4" tint="0.39997558519241921"/>
      </top>
      <bottom/>
      <diagonal/>
    </border>
    <border>
      <left style="double">
        <color indexed="64"/>
      </left>
      <right style="double">
        <color indexed="64"/>
      </right>
      <top style="double">
        <color indexed="64"/>
      </top>
      <bottom style="double">
        <color indexed="64"/>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style="double">
        <color indexed="64"/>
      </left>
      <right style="thin">
        <color indexed="64"/>
      </right>
      <top style="double">
        <color indexed="64"/>
      </top>
      <bottom style="double">
        <color indexed="64"/>
      </bottom>
      <diagonal/>
    </border>
    <border>
      <left style="thin">
        <color indexed="64"/>
      </left>
      <right style="thin">
        <color indexed="64"/>
      </right>
      <top style="double">
        <color indexed="64"/>
      </top>
      <bottom style="double">
        <color indexed="64"/>
      </bottom>
      <diagonal/>
    </border>
    <border>
      <left style="thin">
        <color indexed="64"/>
      </left>
      <right style="double">
        <color indexed="64"/>
      </right>
      <top style="double">
        <color indexed="64"/>
      </top>
      <bottom style="double">
        <color indexed="64"/>
      </bottom>
      <diagonal/>
    </border>
    <border>
      <left style="thin">
        <color theme="4" tint="0.39997558519241921"/>
      </left>
      <right/>
      <top/>
      <bottom/>
      <diagonal/>
    </border>
    <border>
      <left style="thin">
        <color indexed="64"/>
      </left>
      <right style="thin">
        <color theme="4" tint="0.39997558519241921"/>
      </right>
      <top/>
      <bottom/>
      <diagonal/>
    </border>
    <border>
      <left style="thin">
        <color indexed="64"/>
      </left>
      <right/>
      <top style="thin">
        <color theme="4" tint="0.39997558519241921"/>
      </top>
      <bottom style="thin">
        <color theme="4" tint="0.39997558519241921"/>
      </bottom>
      <diagonal/>
    </border>
    <border>
      <left style="thin">
        <color indexed="64"/>
      </left>
      <right style="thin">
        <color theme="4" tint="0.39997558519241921"/>
      </right>
      <top style="thin">
        <color theme="4" tint="0.39997558519241921"/>
      </top>
      <bottom style="thin">
        <color theme="4" tint="0.39997558519241921"/>
      </bottom>
      <diagonal/>
    </border>
    <border>
      <left/>
      <right/>
      <top style="thin">
        <color theme="4" tint="0.39997558519241921"/>
      </top>
      <bottom/>
      <diagonal/>
    </border>
    <border>
      <left/>
      <right/>
      <top style="thin">
        <color theme="4" tint="0.39997558519241921"/>
      </top>
      <bottom style="thin">
        <color theme="4" tint="0.39997558519241921"/>
      </bottom>
      <diagonal/>
    </border>
    <border>
      <left/>
      <right/>
      <top/>
      <bottom style="thin">
        <color theme="4" tint="0.39997558519241921"/>
      </bottom>
      <diagonal/>
    </border>
    <border>
      <left style="thin">
        <color indexed="64"/>
      </left>
      <right/>
      <top/>
      <bottom style="thin">
        <color theme="4" tint="0.39997558519241921"/>
      </bottom>
      <diagonal/>
    </border>
    <border>
      <left style="thin">
        <color indexed="64"/>
      </left>
      <right style="thin">
        <color theme="4" tint="0.39997558519241921"/>
      </right>
      <top/>
      <bottom style="thin">
        <color theme="4" tint="0.39997558519241921"/>
      </bottom>
      <diagonal/>
    </border>
    <border>
      <left style="thin">
        <color indexed="64"/>
      </left>
      <right style="thin">
        <color indexed="64"/>
      </right>
      <top/>
      <bottom style="thin">
        <color indexed="64"/>
      </bottom>
      <diagonal/>
    </border>
    <border>
      <left style="thin">
        <color rgb="FF3F3F3F"/>
      </left>
      <right style="thin">
        <color rgb="FF3F3F3F"/>
      </right>
      <top style="thin">
        <color rgb="FF3F3F3F"/>
      </top>
      <bottom style="thin">
        <color rgb="FF3F3F3F"/>
      </bottom>
      <diagonal/>
    </border>
    <border>
      <left style="thin">
        <color theme="1"/>
      </left>
      <right style="thin">
        <color theme="1"/>
      </right>
      <top style="thin">
        <color theme="1"/>
      </top>
      <bottom style="thin">
        <color theme="1"/>
      </bottom>
      <diagonal/>
    </border>
  </borders>
  <cellStyleXfs count="11">
    <xf numFmtId="0" fontId="0" fillId="0" borderId="0"/>
    <xf numFmtId="43" fontId="3" fillId="0" borderId="0" applyFont="0" applyFill="0" applyBorder="0" applyAlignment="0" applyProtection="0"/>
    <xf numFmtId="9" fontId="3" fillId="0" borderId="0" applyFont="0" applyFill="0" applyBorder="0" applyAlignment="0" applyProtection="0"/>
    <xf numFmtId="44" fontId="3" fillId="0" borderId="0" applyFont="0" applyFill="0" applyBorder="0" applyAlignment="0" applyProtection="0"/>
    <xf numFmtId="0" fontId="27" fillId="0" borderId="0" applyNumberFormat="0" applyFill="0" applyAlignment="0" applyProtection="0"/>
    <xf numFmtId="0" fontId="26" fillId="0" borderId="0" applyNumberFormat="0" applyFill="0" applyAlignment="0" applyProtection="0"/>
    <xf numFmtId="0" fontId="9" fillId="6" borderId="0" applyNumberFormat="0" applyAlignment="0" applyProtection="0"/>
    <xf numFmtId="0" fontId="19" fillId="0" borderId="0" applyNumberFormat="0" applyFill="0" applyBorder="0" applyAlignment="0" applyProtection="0"/>
    <xf numFmtId="0" fontId="20" fillId="8" borderId="43" applyNumberFormat="0" applyAlignment="0" applyProtection="0"/>
    <xf numFmtId="0" fontId="19" fillId="10" borderId="42" applyNumberFormat="0" applyAlignment="0" applyProtection="0"/>
    <xf numFmtId="0" fontId="3" fillId="9" borderId="43" applyNumberFormat="0" applyFont="0" applyAlignment="0" applyProtection="0"/>
  </cellStyleXfs>
  <cellXfs count="678">
    <xf numFmtId="0" fontId="0" fillId="0" borderId="0" xfId="0"/>
    <xf numFmtId="0" fontId="0" fillId="0" borderId="1" xfId="0" applyBorder="1" applyAlignment="1">
      <alignment vertical="center" wrapText="1"/>
    </xf>
    <xf numFmtId="0" fontId="0" fillId="0" borderId="1" xfId="0" applyBorder="1"/>
    <xf numFmtId="6" fontId="0" fillId="0" borderId="1" xfId="0" applyNumberFormat="1" applyBorder="1" applyAlignment="1">
      <alignment vertical="center" wrapText="1"/>
    </xf>
    <xf numFmtId="0" fontId="1" fillId="0" borderId="1" xfId="0" applyFont="1" applyBorder="1" applyAlignment="1">
      <alignment vertical="center" wrapText="1"/>
    </xf>
    <xf numFmtId="6" fontId="2" fillId="0" borderId="1" xfId="0" applyNumberFormat="1" applyFont="1" applyBorder="1"/>
    <xf numFmtId="165" fontId="0" fillId="0" borderId="0" xfId="1" applyNumberFormat="1" applyFont="1"/>
    <xf numFmtId="0" fontId="0" fillId="0" borderId="0" xfId="0" applyAlignment="1"/>
    <xf numFmtId="0" fontId="0" fillId="0" borderId="0" xfId="0" applyAlignment="1">
      <alignment horizontal="left" vertical="top" wrapText="1"/>
    </xf>
    <xf numFmtId="0" fontId="0" fillId="0" borderId="0" xfId="0" applyAlignment="1">
      <alignment horizontal="left" vertical="top"/>
    </xf>
    <xf numFmtId="0" fontId="1" fillId="0" borderId="0" xfId="0" applyFont="1" applyAlignment="1">
      <alignment horizontal="left" vertical="top"/>
    </xf>
    <xf numFmtId="3" fontId="0" fillId="0" borderId="0" xfId="0" applyNumberFormat="1" applyAlignment="1">
      <alignment horizontal="right" vertical="top"/>
    </xf>
    <xf numFmtId="0" fontId="0" fillId="0" borderId="0" xfId="0" applyAlignment="1">
      <alignment horizontal="right" vertical="top"/>
    </xf>
    <xf numFmtId="1" fontId="2" fillId="0" borderId="0" xfId="0" applyNumberFormat="1" applyFont="1" applyAlignment="1">
      <alignment horizontal="right" vertical="top"/>
    </xf>
    <xf numFmtId="9" fontId="0" fillId="0" borderId="0" xfId="0" applyNumberFormat="1" applyAlignment="1">
      <alignment horizontal="right" vertical="top"/>
    </xf>
    <xf numFmtId="0" fontId="0" fillId="2" borderId="0" xfId="0" applyFill="1" applyAlignment="1">
      <alignment horizontal="right" vertical="top"/>
    </xf>
    <xf numFmtId="0" fontId="2" fillId="0" borderId="0" xfId="0" applyFont="1" applyAlignment="1">
      <alignment horizontal="right" vertical="top"/>
    </xf>
    <xf numFmtId="0" fontId="0" fillId="0" borderId="0" xfId="0" applyAlignment="1">
      <alignment horizontal="left" vertical="top" wrapText="1" indent="2"/>
    </xf>
    <xf numFmtId="0" fontId="0" fillId="0" borderId="0" xfId="0" applyAlignment="1">
      <alignment horizontal="left" vertical="top" indent="2"/>
    </xf>
    <xf numFmtId="0" fontId="1" fillId="0" borderId="0" xfId="0" applyFont="1" applyAlignment="1">
      <alignment horizontal="left" indent="2"/>
    </xf>
    <xf numFmtId="0" fontId="8" fillId="0" borderId="0" xfId="0" applyFont="1" applyBorder="1" applyAlignment="1" applyProtection="1">
      <alignment wrapText="1"/>
    </xf>
    <xf numFmtId="0" fontId="0" fillId="0" borderId="0" xfId="0" applyFill="1" applyProtection="1"/>
    <xf numFmtId="0" fontId="0" fillId="0" borderId="0" xfId="0" applyFill="1" applyBorder="1" applyProtection="1"/>
    <xf numFmtId="0" fontId="0" fillId="0" borderId="0" xfId="0" applyProtection="1"/>
    <xf numFmtId="0" fontId="0" fillId="0" borderId="0" xfId="0"/>
    <xf numFmtId="0" fontId="0" fillId="0" borderId="0" xfId="0" applyBorder="1"/>
    <xf numFmtId="9" fontId="9" fillId="0" borderId="0" xfId="2" applyFont="1" applyFill="1" applyBorder="1" applyAlignment="1" applyProtection="1"/>
    <xf numFmtId="0" fontId="0" fillId="0" borderId="0" xfId="0" applyFill="1" applyBorder="1"/>
    <xf numFmtId="0" fontId="7" fillId="0" borderId="0" xfId="0" applyFont="1" applyFill="1" applyProtection="1"/>
    <xf numFmtId="0" fontId="10" fillId="0" borderId="0" xfId="0" applyFont="1" applyFill="1" applyBorder="1" applyProtection="1"/>
    <xf numFmtId="0" fontId="1" fillId="0" borderId="0" xfId="0" applyFont="1" applyFill="1" applyBorder="1" applyProtection="1"/>
    <xf numFmtId="0" fontId="0" fillId="0" borderId="0" xfId="0" applyFill="1"/>
    <xf numFmtId="0" fontId="11" fillId="0" borderId="0" xfId="0" applyFont="1" applyFill="1" applyBorder="1" applyAlignment="1">
      <alignment vertical="center"/>
    </xf>
    <xf numFmtId="9" fontId="9" fillId="0" borderId="0" xfId="2" applyFont="1" applyFill="1" applyBorder="1" applyAlignment="1" applyProtection="1">
      <alignment horizontal="left"/>
    </xf>
    <xf numFmtId="0" fontId="14" fillId="0" borderId="0" xfId="0" applyFont="1" applyFill="1" applyBorder="1"/>
    <xf numFmtId="0" fontId="14" fillId="0" borderId="0" xfId="0" applyFont="1" applyFill="1" applyBorder="1" applyAlignment="1">
      <alignment horizontal="center"/>
    </xf>
    <xf numFmtId="0" fontId="12" fillId="0" borderId="0" xfId="0" applyFont="1" applyFill="1" applyBorder="1"/>
    <xf numFmtId="0" fontId="6" fillId="0" borderId="0" xfId="0" applyFont="1" applyFill="1" applyBorder="1" applyAlignment="1" applyProtection="1">
      <alignment horizontal="center"/>
      <protection locked="0"/>
    </xf>
    <xf numFmtId="0" fontId="0" fillId="0" borderId="0" xfId="0" applyFill="1" applyBorder="1" applyProtection="1">
      <protection locked="0"/>
    </xf>
    <xf numFmtId="0" fontId="13" fillId="0" borderId="0" xfId="0" applyFont="1" applyFill="1" applyBorder="1"/>
    <xf numFmtId="0" fontId="0" fillId="0" borderId="0" xfId="0" applyFill="1" applyBorder="1" applyAlignment="1" applyProtection="1">
      <alignment horizontal="center"/>
      <protection locked="0"/>
    </xf>
    <xf numFmtId="0" fontId="0" fillId="0" borderId="0" xfId="0" applyFont="1" applyFill="1" applyBorder="1" applyAlignment="1" applyProtection="1">
      <alignment horizontal="center"/>
      <protection locked="0"/>
    </xf>
    <xf numFmtId="0" fontId="1" fillId="0" borderId="0" xfId="0" applyFont="1" applyFill="1" applyBorder="1"/>
    <xf numFmtId="0" fontId="10" fillId="0" borderId="0" xfId="0" applyFont="1" applyFill="1" applyBorder="1"/>
    <xf numFmtId="0" fontId="12" fillId="0" borderId="0" xfId="0" applyFont="1" applyFill="1" applyBorder="1" applyProtection="1"/>
    <xf numFmtId="0" fontId="13" fillId="0" borderId="0" xfId="0" applyFont="1" applyFill="1" applyBorder="1" applyProtection="1"/>
    <xf numFmtId="0" fontId="1" fillId="0" borderId="0" xfId="0" applyFont="1" applyFill="1" applyBorder="1" applyAlignment="1" applyProtection="1">
      <alignment horizontal="center"/>
      <protection locked="0"/>
    </xf>
    <xf numFmtId="0" fontId="11" fillId="0" borderId="0" xfId="0" applyFont="1" applyFill="1" applyBorder="1" applyAlignment="1" applyProtection="1">
      <alignment vertical="center"/>
    </xf>
    <xf numFmtId="0" fontId="5" fillId="0" borderId="0" xfId="0" applyFont="1" applyFill="1" applyBorder="1" applyAlignment="1">
      <alignment horizontal="center"/>
    </xf>
    <xf numFmtId="0" fontId="0" fillId="0" borderId="0" xfId="0" applyFill="1" applyBorder="1" applyAlignment="1">
      <alignment horizontal="center"/>
    </xf>
    <xf numFmtId="0" fontId="1" fillId="0" borderId="0" xfId="0" applyFont="1" applyFill="1" applyBorder="1" applyAlignment="1">
      <alignment horizontal="center"/>
    </xf>
    <xf numFmtId="0" fontId="0" fillId="0" borderId="0" xfId="0" applyFont="1" applyProtection="1"/>
    <xf numFmtId="0" fontId="9" fillId="0" borderId="0" xfId="0" applyFont="1" applyFill="1" applyAlignment="1" applyProtection="1"/>
    <xf numFmtId="0" fontId="8" fillId="0" borderId="0" xfId="0" applyFont="1" applyFill="1" applyAlignment="1" applyProtection="1">
      <alignment wrapText="1"/>
    </xf>
    <xf numFmtId="0" fontId="8" fillId="4" borderId="0" xfId="0" applyFont="1" applyFill="1" applyBorder="1" applyProtection="1"/>
    <xf numFmtId="0" fontId="8" fillId="0" borderId="0" xfId="0" applyFont="1" applyProtection="1"/>
    <xf numFmtId="0" fontId="8" fillId="0" borderId="0" xfId="0" applyFont="1" applyFill="1" applyAlignment="1" applyProtection="1">
      <alignment horizontal="left" wrapText="1"/>
    </xf>
    <xf numFmtId="0" fontId="8" fillId="0" borderId="0" xfId="0" applyFont="1" applyFill="1" applyBorder="1" applyAlignment="1" applyProtection="1">
      <alignment horizontal="left" wrapText="1"/>
    </xf>
    <xf numFmtId="0" fontId="8" fillId="0" borderId="0" xfId="0" applyFont="1" applyFill="1" applyBorder="1" applyAlignment="1" applyProtection="1">
      <alignment wrapText="1"/>
    </xf>
    <xf numFmtId="0" fontId="8" fillId="0" borderId="0" xfId="0" applyFont="1" applyFill="1" applyBorder="1" applyAlignment="1" applyProtection="1"/>
    <xf numFmtId="0" fontId="8" fillId="0" borderId="0" xfId="0" applyFont="1" applyFill="1" applyAlignment="1" applyProtection="1"/>
    <xf numFmtId="0" fontId="16" fillId="0" borderId="0" xfId="0" applyFont="1" applyFill="1" applyBorder="1" applyAlignment="1" applyProtection="1"/>
    <xf numFmtId="0" fontId="16" fillId="0" borderId="0" xfId="0" applyFont="1" applyFill="1" applyBorder="1" applyAlignment="1" applyProtection="1">
      <alignment wrapText="1"/>
    </xf>
    <xf numFmtId="0" fontId="19" fillId="0" borderId="0" xfId="0" applyFont="1" applyFill="1" applyBorder="1" applyAlignment="1" applyProtection="1">
      <alignment wrapText="1"/>
    </xf>
    <xf numFmtId="0" fontId="19" fillId="0" borderId="0" xfId="0" applyFont="1" applyFill="1" applyBorder="1" applyAlignment="1" applyProtection="1"/>
    <xf numFmtId="0" fontId="17" fillId="0" borderId="0" xfId="0" applyFont="1" applyFill="1" applyBorder="1" applyAlignment="1" applyProtection="1">
      <alignment wrapText="1"/>
    </xf>
    <xf numFmtId="0" fontId="22" fillId="0" borderId="0" xfId="0" applyFont="1" applyFill="1" applyBorder="1" applyAlignment="1" applyProtection="1">
      <alignment vertical="center" wrapText="1"/>
    </xf>
    <xf numFmtId="0" fontId="15" fillId="0" borderId="0" xfId="0" applyFont="1" applyBorder="1"/>
    <xf numFmtId="0" fontId="0" fillId="0" borderId="0" xfId="0" applyBorder="1" applyAlignment="1">
      <alignment horizontal="centerContinuous" wrapText="1"/>
    </xf>
    <xf numFmtId="0" fontId="0" fillId="0" borderId="0" xfId="0" applyBorder="1" applyAlignment="1">
      <alignment horizontal="centerContinuous"/>
    </xf>
    <xf numFmtId="0" fontId="16" fillId="0" borderId="0" xfId="0" applyFont="1" applyFill="1" applyAlignment="1" applyProtection="1"/>
    <xf numFmtId="0" fontId="6" fillId="0" borderId="0" xfId="0" applyFont="1" applyFill="1" applyBorder="1" applyAlignment="1">
      <alignment horizontal="center"/>
    </xf>
    <xf numFmtId="0" fontId="0" fillId="0" borderId="0" xfId="0" applyFont="1" applyFill="1" applyBorder="1" applyAlignment="1">
      <alignment horizontal="center"/>
    </xf>
    <xf numFmtId="0" fontId="18" fillId="0" borderId="0" xfId="0" applyFont="1" applyFill="1" applyAlignment="1" applyProtection="1"/>
    <xf numFmtId="0" fontId="20" fillId="0" borderId="0" xfId="0" applyFont="1" applyFill="1" applyAlignment="1" applyProtection="1">
      <alignment vertical="top"/>
    </xf>
    <xf numFmtId="0" fontId="9" fillId="0" borderId="0" xfId="0" applyFont="1" applyFill="1" applyAlignment="1" applyProtection="1">
      <alignment vertical="center" wrapText="1"/>
    </xf>
    <xf numFmtId="0" fontId="9" fillId="0" borderId="0" xfId="0" applyFont="1" applyFill="1" applyAlignment="1" applyProtection="1">
      <alignment vertical="center"/>
    </xf>
    <xf numFmtId="0" fontId="16" fillId="0" borderId="0" xfId="0" applyFont="1" applyFill="1" applyAlignment="1" applyProtection="1">
      <alignment vertical="center" wrapText="1"/>
    </xf>
    <xf numFmtId="0" fontId="23" fillId="0" borderId="0" xfId="0" applyFont="1" applyFill="1" applyBorder="1" applyAlignment="1">
      <alignment horizontal="left" vertical="center"/>
    </xf>
    <xf numFmtId="0" fontId="9" fillId="0" borderId="0" xfId="0" applyFont="1" applyFill="1" applyBorder="1" applyAlignment="1"/>
    <xf numFmtId="0" fontId="8" fillId="0" borderId="0" xfId="0" applyFont="1" applyFill="1" applyBorder="1" applyAlignment="1" applyProtection="1">
      <alignment vertical="top"/>
    </xf>
    <xf numFmtId="0" fontId="8" fillId="0" borderId="0" xfId="0" applyFont="1" applyFill="1" applyBorder="1" applyAlignment="1" applyProtection="1">
      <alignment vertical="top" wrapText="1"/>
    </xf>
    <xf numFmtId="0" fontId="21" fillId="0" borderId="0" xfId="0" applyFont="1" applyFill="1" applyBorder="1" applyAlignment="1">
      <alignment horizontal="left" vertical="center" indent="5"/>
    </xf>
    <xf numFmtId="0" fontId="22" fillId="0" borderId="0" xfId="0" applyFont="1" applyBorder="1" applyAlignment="1">
      <alignment vertical="center"/>
    </xf>
    <xf numFmtId="0" fontId="16" fillId="0" borderId="25" xfId="0" applyFont="1" applyFill="1" applyBorder="1" applyAlignment="1" applyProtection="1">
      <alignment wrapText="1"/>
    </xf>
    <xf numFmtId="0" fontId="16" fillId="0" borderId="0" xfId="0" applyFont="1" applyFill="1" applyAlignment="1" applyProtection="1">
      <alignment horizontal="left" wrapText="1"/>
    </xf>
    <xf numFmtId="0" fontId="16" fillId="0" borderId="0" xfId="0" applyFont="1" applyBorder="1" applyAlignment="1"/>
    <xf numFmtId="0" fontId="9" fillId="6" borderId="0" xfId="0" applyFont="1" applyFill="1" applyBorder="1" applyAlignment="1" applyProtection="1">
      <alignment horizontal="left"/>
    </xf>
    <xf numFmtId="9" fontId="9" fillId="6" borderId="0" xfId="2" applyFont="1" applyFill="1" applyBorder="1" applyAlignment="1" applyProtection="1">
      <alignment horizontal="left"/>
    </xf>
    <xf numFmtId="0" fontId="19" fillId="0" borderId="0" xfId="0" applyFont="1" applyAlignment="1">
      <alignment horizontal="left" vertical="center"/>
    </xf>
    <xf numFmtId="0" fontId="28" fillId="0" borderId="0" xfId="0" applyFont="1" applyFill="1" applyBorder="1" applyAlignment="1" applyProtection="1">
      <alignment wrapText="1"/>
    </xf>
    <xf numFmtId="0" fontId="26" fillId="0" borderId="0" xfId="0" applyFont="1" applyFill="1" applyBorder="1" applyAlignment="1" applyProtection="1"/>
    <xf numFmtId="0" fontId="20" fillId="0" borderId="0" xfId="0" applyFont="1" applyFill="1" applyBorder="1" applyAlignment="1" applyProtection="1">
      <alignment wrapText="1"/>
    </xf>
    <xf numFmtId="0" fontId="16" fillId="0" borderId="0" xfId="0" applyFont="1"/>
    <xf numFmtId="0" fontId="8" fillId="0" borderId="0" xfId="0" applyFont="1"/>
    <xf numFmtId="0" fontId="8" fillId="0" borderId="0" xfId="0" applyFont="1" applyBorder="1"/>
    <xf numFmtId="0" fontId="19" fillId="0" borderId="0" xfId="0" applyFont="1" applyFill="1" applyAlignment="1">
      <alignment wrapText="1"/>
    </xf>
    <xf numFmtId="0" fontId="29" fillId="0" borderId="0" xfId="0" applyFont="1" applyFill="1"/>
    <xf numFmtId="0" fontId="19" fillId="4" borderId="2" xfId="0" applyFont="1" applyFill="1" applyBorder="1" applyAlignment="1">
      <alignment horizontal="left" vertical="top"/>
    </xf>
    <xf numFmtId="0" fontId="20" fillId="4" borderId="20" xfId="0" applyFont="1" applyFill="1" applyBorder="1" applyAlignment="1">
      <alignment vertical="center" wrapText="1"/>
    </xf>
    <xf numFmtId="0" fontId="20" fillId="0" borderId="0" xfId="0" applyFont="1" applyBorder="1"/>
    <xf numFmtId="0" fontId="20" fillId="0" borderId="0" xfId="0" applyFont="1"/>
    <xf numFmtId="0" fontId="8" fillId="4" borderId="20" xfId="0" applyFont="1" applyFill="1" applyBorder="1" applyAlignment="1">
      <alignment vertical="center" wrapText="1"/>
    </xf>
    <xf numFmtId="0" fontId="8" fillId="4" borderId="20" xfId="0" applyFont="1" applyFill="1" applyBorder="1" applyAlignment="1">
      <alignment vertical="center"/>
    </xf>
    <xf numFmtId="0" fontId="8" fillId="0" borderId="0" xfId="0" applyFont="1" applyAlignment="1">
      <alignment wrapText="1"/>
    </xf>
    <xf numFmtId="0" fontId="19" fillId="0" borderId="0" xfId="0" applyFont="1" applyFill="1" applyBorder="1" applyAlignment="1"/>
    <xf numFmtId="0" fontId="30" fillId="0" borderId="0" xfId="0" applyFont="1" applyFill="1" applyBorder="1" applyAlignment="1"/>
    <xf numFmtId="0" fontId="8" fillId="4" borderId="2" xfId="0" applyFont="1" applyFill="1" applyBorder="1"/>
    <xf numFmtId="0" fontId="8" fillId="4" borderId="20" xfId="0" applyFont="1" applyFill="1" applyBorder="1"/>
    <xf numFmtId="0" fontId="8" fillId="0" borderId="0" xfId="0" applyFont="1" applyFill="1" applyBorder="1"/>
    <xf numFmtId="0" fontId="19" fillId="0" borderId="0" xfId="0" applyFont="1" applyFill="1" applyAlignment="1"/>
    <xf numFmtId="0" fontId="30" fillId="0" borderId="0" xfId="0" applyFont="1" applyFill="1" applyAlignment="1"/>
    <xf numFmtId="0" fontId="30" fillId="0" borderId="0" xfId="0" applyFont="1" applyFill="1" applyBorder="1" applyAlignment="1">
      <alignment vertical="top"/>
    </xf>
    <xf numFmtId="0" fontId="19" fillId="4" borderId="20" xfId="0" applyFont="1" applyFill="1" applyBorder="1" applyAlignment="1">
      <alignment vertical="top"/>
    </xf>
    <xf numFmtId="0" fontId="8" fillId="4" borderId="20" xfId="0" applyFont="1" applyFill="1" applyBorder="1" applyAlignment="1">
      <alignment vertical="top" wrapText="1"/>
    </xf>
    <xf numFmtId="0" fontId="8" fillId="0" borderId="0" xfId="0" applyFont="1" applyFill="1" applyBorder="1" applyAlignment="1">
      <alignment vertical="top" wrapText="1"/>
    </xf>
    <xf numFmtId="0" fontId="24" fillId="0" borderId="0" xfId="0" applyFont="1" applyFill="1" applyBorder="1" applyAlignment="1" applyProtection="1"/>
    <xf numFmtId="0" fontId="8" fillId="0" borderId="0" xfId="0" applyFont="1" applyFill="1" applyProtection="1"/>
    <xf numFmtId="0" fontId="24" fillId="0" borderId="0" xfId="0" applyFont="1" applyFill="1" applyBorder="1" applyAlignment="1" applyProtection="1">
      <alignment horizontal="center"/>
    </xf>
    <xf numFmtId="0" fontId="30" fillId="0" borderId="0" xfId="0" applyFont="1" applyFill="1" applyAlignment="1" applyProtection="1"/>
    <xf numFmtId="0" fontId="30" fillId="0" borderId="0" xfId="0" applyFont="1" applyFill="1" applyBorder="1" applyAlignment="1" applyProtection="1"/>
    <xf numFmtId="0" fontId="29" fillId="0" borderId="0" xfId="0" applyFont="1" applyFill="1" applyBorder="1" applyAlignment="1" applyProtection="1"/>
    <xf numFmtId="0" fontId="8" fillId="0" borderId="0" xfId="0" applyFont="1" applyFill="1"/>
    <xf numFmtId="164" fontId="8" fillId="4" borderId="20" xfId="3" applyNumberFormat="1" applyFont="1" applyFill="1" applyBorder="1"/>
    <xf numFmtId="0" fontId="31" fillId="0" borderId="0" xfId="0" applyFont="1" applyFill="1" applyBorder="1" applyAlignment="1" applyProtection="1">
      <alignment vertical="center"/>
    </xf>
    <xf numFmtId="9" fontId="8" fillId="0" borderId="0" xfId="0" applyNumberFormat="1" applyFont="1"/>
    <xf numFmtId="9" fontId="8" fillId="0" borderId="0" xfId="2" applyFont="1"/>
    <xf numFmtId="0" fontId="8" fillId="4" borderId="20" xfId="0" applyNumberFormat="1" applyFont="1" applyFill="1" applyBorder="1"/>
    <xf numFmtId="0" fontId="28" fillId="0" borderId="0" xfId="0" applyFont="1" applyAlignment="1" applyProtection="1">
      <alignment wrapText="1"/>
    </xf>
    <xf numFmtId="0" fontId="32" fillId="0" borderId="0" xfId="0" applyFont="1" applyFill="1" applyAlignment="1" applyProtection="1">
      <alignment horizontal="left" wrapText="1"/>
    </xf>
    <xf numFmtId="0" fontId="32" fillId="0" borderId="0" xfId="0" applyFont="1" applyFill="1" applyBorder="1" applyAlignment="1" applyProtection="1">
      <alignment horizontal="left" wrapText="1"/>
    </xf>
    <xf numFmtId="0" fontId="8" fillId="0" borderId="0" xfId="0" quotePrefix="1" applyFont="1" applyFill="1" applyBorder="1" applyAlignment="1" applyProtection="1">
      <alignment horizontal="left"/>
    </xf>
    <xf numFmtId="0" fontId="8" fillId="0" borderId="0" xfId="0" quotePrefix="1" applyFont="1" applyFill="1" applyBorder="1" applyProtection="1"/>
    <xf numFmtId="0" fontId="8" fillId="0" borderId="0" xfId="0" applyFont="1" applyFill="1" applyBorder="1" applyProtection="1"/>
    <xf numFmtId="0" fontId="30" fillId="0" borderId="22" xfId="0" applyFont="1" applyFill="1" applyBorder="1" applyAlignment="1" applyProtection="1"/>
    <xf numFmtId="0" fontId="20" fillId="0" borderId="0" xfId="0" applyFont="1" applyFill="1" applyBorder="1" applyAlignment="1" applyProtection="1"/>
    <xf numFmtId="0" fontId="28" fillId="0" borderId="0" xfId="0" applyFont="1" applyFill="1" applyAlignment="1" applyProtection="1">
      <alignment wrapText="1"/>
    </xf>
    <xf numFmtId="0" fontId="20" fillId="0" borderId="6" xfId="0" applyFont="1" applyFill="1" applyBorder="1" applyAlignment="1" applyProtection="1"/>
    <xf numFmtId="0" fontId="30" fillId="0" borderId="0" xfId="0" applyFont="1" applyFill="1" applyBorder="1" applyAlignment="1" applyProtection="1">
      <alignment vertical="center"/>
    </xf>
    <xf numFmtId="0" fontId="30" fillId="0" borderId="0" xfId="0" applyFont="1" applyFill="1" applyBorder="1" applyAlignment="1" applyProtection="1">
      <alignment horizontal="center" vertical="center"/>
    </xf>
    <xf numFmtId="0" fontId="30" fillId="6" borderId="0" xfId="0" applyFont="1" applyFill="1" applyBorder="1" applyAlignment="1">
      <alignment horizontal="center"/>
    </xf>
    <xf numFmtId="0" fontId="30" fillId="6" borderId="23" xfId="0" applyFont="1" applyFill="1" applyBorder="1" applyAlignment="1">
      <alignment horizontal="center" wrapText="1"/>
    </xf>
    <xf numFmtId="0" fontId="30" fillId="6" borderId="23" xfId="0" applyFont="1" applyFill="1" applyBorder="1" applyAlignment="1">
      <alignment horizontal="center"/>
    </xf>
    <xf numFmtId="0" fontId="8" fillId="0" borderId="0" xfId="3" applyNumberFormat="1" applyFont="1" applyFill="1" applyBorder="1" applyAlignment="1" applyProtection="1">
      <alignment horizontal="left" wrapText="1"/>
      <protection locked="0"/>
    </xf>
    <xf numFmtId="0" fontId="8" fillId="4" borderId="2" xfId="0" applyFont="1" applyFill="1" applyBorder="1" applyAlignment="1">
      <alignment horizontal="left" wrapText="1"/>
    </xf>
    <xf numFmtId="0" fontId="8" fillId="0" borderId="0" xfId="0" applyFont="1" applyBorder="1" applyProtection="1"/>
    <xf numFmtId="0" fontId="30" fillId="0" borderId="0" xfId="0" applyFont="1" applyFill="1" applyBorder="1" applyAlignment="1" applyProtection="1">
      <alignment horizontal="center" vertical="top"/>
    </xf>
    <xf numFmtId="0" fontId="30" fillId="0" borderId="0" xfId="0" applyFont="1" applyFill="1" applyBorder="1" applyAlignment="1" applyProtection="1">
      <alignment vertical="top"/>
    </xf>
    <xf numFmtId="0" fontId="30" fillId="0" borderId="0" xfId="0" applyFont="1" applyFill="1" applyBorder="1" applyAlignment="1" applyProtection="1">
      <alignment horizontal="center" vertical="top" wrapText="1"/>
    </xf>
    <xf numFmtId="0" fontId="30" fillId="6" borderId="0" xfId="0" applyFont="1" applyFill="1" applyBorder="1" applyAlignment="1">
      <alignment horizontal="center" vertical="center" wrapText="1"/>
    </xf>
    <xf numFmtId="9" fontId="30" fillId="6" borderId="0" xfId="2" applyFont="1" applyFill="1" applyBorder="1" applyAlignment="1" applyProtection="1"/>
    <xf numFmtId="9" fontId="30" fillId="0" borderId="0" xfId="2" applyFont="1" applyFill="1" applyBorder="1" applyAlignment="1" applyProtection="1"/>
    <xf numFmtId="9" fontId="16" fillId="0" borderId="0" xfId="2" applyFont="1" applyFill="1" applyBorder="1" applyAlignment="1" applyProtection="1"/>
    <xf numFmtId="9" fontId="16" fillId="0" borderId="0" xfId="2" applyFont="1" applyFill="1" applyBorder="1" applyAlignment="1" applyProtection="1">
      <alignment horizontal="left" wrapText="1"/>
    </xf>
    <xf numFmtId="9" fontId="16" fillId="0" borderId="0" xfId="2" applyFont="1" applyFill="1" applyBorder="1" applyAlignment="1" applyProtection="1">
      <alignment wrapText="1"/>
    </xf>
    <xf numFmtId="0" fontId="30" fillId="0" borderId="22" xfId="0" applyFont="1" applyFill="1" applyBorder="1" applyAlignment="1" applyProtection="1">
      <alignment vertical="center"/>
    </xf>
    <xf numFmtId="0" fontId="30" fillId="6" borderId="0" xfId="0" applyFont="1" applyFill="1" applyBorder="1" applyAlignment="1">
      <alignment horizontal="center" wrapText="1"/>
    </xf>
    <xf numFmtId="0" fontId="30" fillId="0" borderId="0" xfId="0" applyFont="1" applyFill="1" applyBorder="1" applyAlignment="1">
      <alignment horizontal="center"/>
    </xf>
    <xf numFmtId="0" fontId="8" fillId="0" borderId="0" xfId="2" applyNumberFormat="1" applyFont="1" applyFill="1" applyBorder="1" applyAlignment="1">
      <alignment wrapText="1"/>
    </xf>
    <xf numFmtId="0" fontId="16" fillId="0" borderId="0" xfId="2" applyNumberFormat="1" applyFont="1" applyFill="1" applyBorder="1" applyAlignment="1" applyProtection="1">
      <alignment wrapText="1"/>
    </xf>
    <xf numFmtId="0" fontId="16" fillId="0" borderId="0" xfId="2" applyNumberFormat="1" applyFont="1" applyFill="1" applyBorder="1" applyAlignment="1">
      <alignment wrapText="1"/>
    </xf>
    <xf numFmtId="0" fontId="8" fillId="0" borderId="0" xfId="0" applyFont="1" applyAlignment="1"/>
    <xf numFmtId="0" fontId="30" fillId="6" borderId="0" xfId="0" applyFont="1" applyFill="1" applyBorder="1" applyAlignment="1" applyProtection="1">
      <alignment horizontal="center"/>
    </xf>
    <xf numFmtId="0" fontId="30" fillId="6" borderId="0" xfId="0" applyFont="1" applyFill="1" applyBorder="1" applyAlignment="1" applyProtection="1">
      <alignment horizontal="center" wrapText="1"/>
    </xf>
    <xf numFmtId="0" fontId="30" fillId="6" borderId="17" xfId="0" applyFont="1" applyFill="1" applyBorder="1" applyAlignment="1" applyProtection="1">
      <alignment horizontal="center" wrapText="1"/>
    </xf>
    <xf numFmtId="0" fontId="30" fillId="6" borderId="16" xfId="0" applyFont="1" applyFill="1" applyBorder="1" applyAlignment="1" applyProtection="1">
      <alignment horizontal="center" wrapText="1"/>
    </xf>
    <xf numFmtId="0" fontId="30" fillId="6" borderId="20" xfId="0" applyFont="1" applyFill="1" applyBorder="1" applyAlignment="1" applyProtection="1">
      <alignment horizontal="center" wrapText="1"/>
    </xf>
    <xf numFmtId="164" fontId="8" fillId="0" borderId="0" xfId="0" applyNumberFormat="1" applyFont="1" applyFill="1" applyBorder="1" applyProtection="1"/>
    <xf numFmtId="0" fontId="28" fillId="0" borderId="0" xfId="0" applyFont="1" applyFill="1" applyBorder="1" applyAlignment="1" applyProtection="1">
      <alignment vertical="center"/>
    </xf>
    <xf numFmtId="0" fontId="30" fillId="0" borderId="0" xfId="0" applyFont="1" applyFill="1" applyBorder="1" applyAlignment="1" applyProtection="1">
      <alignment vertical="center" wrapText="1"/>
    </xf>
    <xf numFmtId="0" fontId="33" fillId="0" borderId="0" xfId="0" applyFont="1" applyFill="1" applyBorder="1" applyAlignment="1" applyProtection="1">
      <alignment vertical="top"/>
    </xf>
    <xf numFmtId="0" fontId="8" fillId="0" borderId="0" xfId="0" applyFont="1" applyFill="1" applyBorder="1" applyAlignment="1" applyProtection="1">
      <alignment wrapText="1"/>
      <protection locked="0"/>
    </xf>
    <xf numFmtId="0" fontId="16" fillId="0" borderId="0" xfId="0" applyFont="1" applyBorder="1" applyAlignment="1" applyProtection="1">
      <alignment wrapText="1"/>
    </xf>
    <xf numFmtId="0" fontId="34" fillId="0" borderId="0" xfId="0" applyFont="1" applyBorder="1" applyAlignment="1" applyProtection="1"/>
    <xf numFmtId="16" fontId="8" fillId="0" borderId="0" xfId="0" applyNumberFormat="1" applyFont="1" applyFill="1" applyBorder="1" applyAlignment="1" applyProtection="1">
      <alignment wrapText="1"/>
    </xf>
    <xf numFmtId="0" fontId="8" fillId="0" borderId="0" xfId="0" applyFont="1" applyBorder="1" applyAlignment="1" applyProtection="1"/>
    <xf numFmtId="0" fontId="30" fillId="0" borderId="0" xfId="0" applyFont="1" applyFill="1" applyBorder="1" applyAlignment="1" applyProtection="1">
      <alignment horizontal="center"/>
    </xf>
    <xf numFmtId="0" fontId="30" fillId="0" borderId="0" xfId="0" applyFont="1" applyFill="1" applyBorder="1" applyAlignment="1" applyProtection="1">
      <alignment wrapText="1"/>
    </xf>
    <xf numFmtId="0" fontId="16" fillId="0" borderId="0" xfId="0" applyFont="1" applyFill="1" applyBorder="1" applyAlignment="1" applyProtection="1">
      <alignment vertical="center"/>
    </xf>
    <xf numFmtId="6" fontId="16" fillId="0" borderId="0" xfId="0" applyNumberFormat="1" applyFont="1" applyFill="1" applyBorder="1" applyAlignment="1" applyProtection="1">
      <alignment vertical="center"/>
    </xf>
    <xf numFmtId="43" fontId="32" fillId="0" borderId="0" xfId="1" applyFont="1" applyFill="1" applyBorder="1" applyAlignment="1" applyProtection="1">
      <alignment vertical="center"/>
    </xf>
    <xf numFmtId="0" fontId="30" fillId="6" borderId="0" xfId="0" applyFont="1" applyFill="1" applyBorder="1" applyAlignment="1">
      <alignment vertical="center"/>
    </xf>
    <xf numFmtId="0" fontId="30" fillId="6" borderId="23" xfId="0" applyFont="1" applyFill="1" applyBorder="1" applyAlignment="1">
      <alignment horizontal="center" vertical="center"/>
    </xf>
    <xf numFmtId="0" fontId="29" fillId="5" borderId="0" xfId="0" applyFont="1" applyFill="1" applyBorder="1" applyProtection="1"/>
    <xf numFmtId="164" fontId="29" fillId="5" borderId="0" xfId="0" applyNumberFormat="1" applyFont="1" applyFill="1" applyBorder="1" applyProtection="1"/>
    <xf numFmtId="9" fontId="29" fillId="5" borderId="0" xfId="2" applyFont="1" applyFill="1" applyBorder="1" applyProtection="1"/>
    <xf numFmtId="0" fontId="30" fillId="5" borderId="0" xfId="0" applyFont="1" applyFill="1" applyBorder="1" applyProtection="1"/>
    <xf numFmtId="9" fontId="29" fillId="5" borderId="0" xfId="0" applyNumberFormat="1" applyFont="1" applyFill="1" applyBorder="1" applyProtection="1"/>
    <xf numFmtId="164" fontId="8" fillId="0" borderId="0" xfId="3" applyNumberFormat="1" applyFont="1" applyFill="1" applyBorder="1" applyProtection="1"/>
    <xf numFmtId="166" fontId="8" fillId="0" borderId="0" xfId="2" applyNumberFormat="1" applyFont="1" applyFill="1" applyBorder="1" applyProtection="1"/>
    <xf numFmtId="0" fontId="34" fillId="0" borderId="0" xfId="0" applyFont="1" applyFill="1" applyBorder="1" applyAlignment="1" applyProtection="1"/>
    <xf numFmtId="0" fontId="19" fillId="0" borderId="0" xfId="0" applyFont="1" applyFill="1" applyBorder="1" applyAlignment="1" applyProtection="1">
      <alignment vertical="top"/>
    </xf>
    <xf numFmtId="0" fontId="8" fillId="0" borderId="0" xfId="0" applyFont="1" applyFill="1" applyAlignment="1" applyProtection="1">
      <alignment vertical="top"/>
    </xf>
    <xf numFmtId="0" fontId="20" fillId="0" borderId="0" xfId="0" applyFont="1" applyFill="1" applyBorder="1" applyAlignment="1" applyProtection="1">
      <alignment vertical="top" wrapText="1"/>
    </xf>
    <xf numFmtId="0" fontId="20" fillId="0" borderId="0" xfId="0" applyFont="1" applyFill="1" applyBorder="1" applyAlignment="1" applyProtection="1">
      <alignment vertical="top"/>
    </xf>
    <xf numFmtId="0" fontId="8" fillId="0" borderId="0" xfId="0" applyFont="1" applyFill="1" applyBorder="1" applyAlignment="1" applyProtection="1">
      <alignment horizontal="left" vertical="top" wrapText="1"/>
    </xf>
    <xf numFmtId="0" fontId="28" fillId="0" borderId="0" xfId="0" applyFont="1" applyFill="1" applyBorder="1" applyAlignment="1" applyProtection="1">
      <alignment horizontal="center" vertical="top" wrapText="1"/>
    </xf>
    <xf numFmtId="164" fontId="8" fillId="0" borderId="0" xfId="0" applyNumberFormat="1" applyFont="1" applyFill="1" applyBorder="1" applyAlignment="1" applyProtection="1">
      <alignment vertical="top"/>
    </xf>
    <xf numFmtId="0" fontId="28" fillId="0" borderId="0" xfId="0" applyFont="1" applyFill="1" applyBorder="1" applyAlignment="1" applyProtection="1">
      <alignment vertical="top"/>
    </xf>
    <xf numFmtId="0" fontId="30" fillId="0" borderId="2" xfId="0" applyFont="1" applyFill="1" applyBorder="1" applyAlignment="1" applyProtection="1">
      <alignment vertical="top"/>
      <protection locked="0"/>
    </xf>
    <xf numFmtId="0" fontId="8" fillId="0" borderId="2" xfId="3" applyNumberFormat="1" applyFont="1" applyFill="1" applyBorder="1" applyAlignment="1" applyProtection="1">
      <alignment vertical="top"/>
      <protection locked="0"/>
    </xf>
    <xf numFmtId="0" fontId="8" fillId="0" borderId="2" xfId="0" applyFont="1" applyFill="1" applyBorder="1" applyAlignment="1" applyProtection="1">
      <alignment vertical="top"/>
    </xf>
    <xf numFmtId="0" fontId="16" fillId="0" borderId="0" xfId="0" applyFont="1" applyFill="1" applyBorder="1" applyAlignment="1" applyProtection="1">
      <alignment vertical="top"/>
    </xf>
    <xf numFmtId="164" fontId="8" fillId="0" borderId="0" xfId="3" applyNumberFormat="1" applyFont="1" applyFill="1" applyBorder="1" applyAlignment="1" applyProtection="1">
      <alignment vertical="top"/>
    </xf>
    <xf numFmtId="166" fontId="8" fillId="0" borderId="0" xfId="2" applyNumberFormat="1" applyFont="1" applyFill="1" applyBorder="1" applyAlignment="1" applyProtection="1">
      <alignment vertical="top"/>
    </xf>
    <xf numFmtId="9" fontId="16" fillId="0" borderId="0" xfId="2" applyFont="1" applyFill="1" applyBorder="1" applyAlignment="1" applyProtection="1">
      <alignment vertical="top"/>
    </xf>
    <xf numFmtId="9" fontId="16" fillId="0" borderId="0" xfId="2" applyFont="1" applyFill="1" applyBorder="1" applyAlignment="1" applyProtection="1">
      <alignment horizontal="left" vertical="top" wrapText="1"/>
    </xf>
    <xf numFmtId="0" fontId="30" fillId="0" borderId="22" xfId="0" applyFont="1" applyFill="1" applyBorder="1" applyAlignment="1" applyProtection="1">
      <alignment vertical="top"/>
    </xf>
    <xf numFmtId="0" fontId="34" fillId="0" borderId="0" xfId="0" applyFont="1" applyFill="1" applyBorder="1" applyAlignment="1" applyProtection="1">
      <alignment vertical="top"/>
    </xf>
    <xf numFmtId="16" fontId="34" fillId="0" borderId="0" xfId="0" applyNumberFormat="1" applyFont="1" applyFill="1" applyBorder="1" applyAlignment="1" applyProtection="1">
      <alignment vertical="top"/>
    </xf>
    <xf numFmtId="16" fontId="8" fillId="0" borderId="0" xfId="0" applyNumberFormat="1" applyFont="1" applyFill="1" applyBorder="1" applyAlignment="1" applyProtection="1">
      <alignment vertical="top" wrapText="1"/>
    </xf>
    <xf numFmtId="0" fontId="20" fillId="0" borderId="21" xfId="0" applyFont="1" applyFill="1" applyBorder="1" applyAlignment="1" applyProtection="1">
      <alignment horizontal="left" vertical="top"/>
    </xf>
    <xf numFmtId="0" fontId="30" fillId="0" borderId="22" xfId="0" applyFont="1" applyFill="1" applyBorder="1" applyAlignment="1" applyProtection="1">
      <alignment horizontal="left" vertical="top"/>
    </xf>
    <xf numFmtId="0" fontId="30" fillId="0" borderId="0" xfId="0" applyFont="1" applyFill="1" applyBorder="1" applyAlignment="1" applyProtection="1">
      <alignment horizontal="left" vertical="top"/>
    </xf>
    <xf numFmtId="0" fontId="19" fillId="0" borderId="0" xfId="0" applyFont="1" applyFill="1" applyBorder="1" applyAlignment="1" applyProtection="1">
      <alignment vertical="top"/>
      <protection locked="0"/>
    </xf>
    <xf numFmtId="0" fontId="8" fillId="0" borderId="0" xfId="0" applyFont="1" applyFill="1" applyBorder="1" applyAlignment="1" applyProtection="1">
      <alignment vertical="center"/>
    </xf>
    <xf numFmtId="0" fontId="8" fillId="0" borderId="0" xfId="0" applyFont="1" applyFill="1" applyAlignment="1" applyProtection="1">
      <alignment vertical="center"/>
    </xf>
    <xf numFmtId="0" fontId="28" fillId="0" borderId="0" xfId="0" applyFont="1" applyFill="1" applyBorder="1" applyAlignment="1" applyProtection="1">
      <alignment horizontal="left" vertical="center"/>
    </xf>
    <xf numFmtId="0" fontId="8" fillId="0" borderId="0" xfId="0" applyFont="1" applyFill="1" applyBorder="1" applyAlignment="1" applyProtection="1">
      <alignment horizontal="left" vertical="center"/>
    </xf>
    <xf numFmtId="0" fontId="8" fillId="0" borderId="0" xfId="0" applyFont="1" applyFill="1" applyAlignment="1" applyProtection="1">
      <alignment horizontal="left" vertical="center"/>
    </xf>
    <xf numFmtId="0" fontId="9" fillId="6" borderId="22" xfId="0" applyFont="1" applyFill="1" applyBorder="1" applyAlignment="1" applyProtection="1">
      <alignment horizontal="left" vertical="top"/>
    </xf>
    <xf numFmtId="0" fontId="30" fillId="5" borderId="13" xfId="0" applyFont="1" applyFill="1" applyBorder="1" applyAlignment="1" applyProtection="1"/>
    <xf numFmtId="0" fontId="30" fillId="5" borderId="14" xfId="0" applyFont="1" applyFill="1" applyBorder="1" applyAlignment="1" applyProtection="1"/>
    <xf numFmtId="0" fontId="30" fillId="5" borderId="15" xfId="0" applyFont="1" applyFill="1" applyBorder="1" applyAlignment="1" applyProtection="1"/>
    <xf numFmtId="0" fontId="8" fillId="2" borderId="6" xfId="0" applyFont="1" applyFill="1" applyBorder="1" applyProtection="1"/>
    <xf numFmtId="0" fontId="8" fillId="2" borderId="0" xfId="0" applyFont="1" applyFill="1" applyBorder="1" applyProtection="1"/>
    <xf numFmtId="164" fontId="8" fillId="2" borderId="0" xfId="0" applyNumberFormat="1" applyFont="1" applyFill="1" applyBorder="1" applyProtection="1"/>
    <xf numFmtId="164" fontId="8" fillId="2" borderId="7" xfId="0" applyNumberFormat="1" applyFont="1" applyFill="1" applyBorder="1" applyProtection="1"/>
    <xf numFmtId="9" fontId="8" fillId="2" borderId="0" xfId="2" applyFont="1" applyFill="1" applyBorder="1" applyProtection="1"/>
    <xf numFmtId="9" fontId="8" fillId="2" borderId="7" xfId="2" applyFont="1" applyFill="1" applyBorder="1" applyProtection="1"/>
    <xf numFmtId="0" fontId="8" fillId="2" borderId="7" xfId="0" applyFont="1" applyFill="1" applyBorder="1" applyProtection="1"/>
    <xf numFmtId="0" fontId="8" fillId="2" borderId="3" xfId="0" applyFont="1" applyFill="1" applyBorder="1" applyProtection="1"/>
    <xf numFmtId="0" fontId="30" fillId="5" borderId="4" xfId="0" applyFont="1" applyFill="1" applyBorder="1" applyProtection="1"/>
    <xf numFmtId="9" fontId="29" fillId="5" borderId="4" xfId="0" applyNumberFormat="1" applyFont="1" applyFill="1" applyBorder="1" applyProtection="1"/>
    <xf numFmtId="0" fontId="29" fillId="5" borderId="4" xfId="0" applyFont="1" applyFill="1" applyBorder="1" applyProtection="1"/>
    <xf numFmtId="164" fontId="29" fillId="5" borderId="4" xfId="0" applyNumberFormat="1" applyFont="1" applyFill="1" applyBorder="1" applyProtection="1"/>
    <xf numFmtId="0" fontId="8" fillId="2" borderId="4" xfId="0" applyFont="1" applyFill="1" applyBorder="1" applyProtection="1"/>
    <xf numFmtId="0" fontId="8" fillId="2" borderId="5" xfId="0" applyFont="1" applyFill="1" applyBorder="1" applyProtection="1"/>
    <xf numFmtId="0" fontId="16" fillId="0" borderId="0" xfId="0" applyFont="1" applyFill="1" applyBorder="1" applyAlignment="1" applyProtection="1">
      <alignment horizontal="right" vertical="center"/>
    </xf>
    <xf numFmtId="0" fontId="26" fillId="0" borderId="0" xfId="0" applyFont="1" applyFill="1" applyAlignment="1" applyProtection="1">
      <alignment horizontal="left" vertical="top" wrapText="1"/>
    </xf>
    <xf numFmtId="171" fontId="8" fillId="0" borderId="0" xfId="0" applyNumberFormat="1" applyFont="1" applyProtection="1"/>
    <xf numFmtId="172" fontId="8" fillId="0" borderId="0" xfId="0" applyNumberFormat="1" applyFont="1" applyBorder="1" applyAlignment="1" applyProtection="1">
      <alignment wrapText="1"/>
    </xf>
    <xf numFmtId="0" fontId="8" fillId="0" borderId="0" xfId="0" applyFont="1" applyBorder="1" applyAlignment="1" applyProtection="1">
      <alignment horizontal="left" wrapText="1"/>
    </xf>
    <xf numFmtId="0" fontId="8" fillId="0" borderId="6" xfId="0" applyFont="1" applyFill="1" applyBorder="1" applyProtection="1"/>
    <xf numFmtId="0" fontId="8" fillId="0" borderId="0" xfId="0" quotePrefix="1" applyFont="1" applyFill="1" applyBorder="1" applyAlignment="1" applyProtection="1">
      <alignment wrapText="1"/>
      <protection locked="0"/>
    </xf>
    <xf numFmtId="9" fontId="8" fillId="0" borderId="0" xfId="0" applyNumberFormat="1" applyFont="1" applyFill="1" applyBorder="1" applyProtection="1"/>
    <xf numFmtId="43" fontId="8" fillId="0" borderId="0" xfId="0" applyNumberFormat="1" applyFont="1" applyFill="1" applyBorder="1" applyProtection="1"/>
    <xf numFmtId="0" fontId="16" fillId="0" borderId="0" xfId="0" applyFont="1" applyFill="1" applyBorder="1" applyAlignment="1" applyProtection="1">
      <alignment horizontal="center"/>
    </xf>
    <xf numFmtId="2" fontId="8" fillId="0" borderId="0" xfId="0" applyNumberFormat="1" applyFont="1" applyFill="1" applyBorder="1" applyProtection="1"/>
    <xf numFmtId="0" fontId="8" fillId="0" borderId="0" xfId="0" applyFont="1" applyAlignment="1" applyProtection="1">
      <alignment vertical="center"/>
    </xf>
    <xf numFmtId="0" fontId="8" fillId="0" borderId="0" xfId="0" applyFont="1" applyAlignment="1" applyProtection="1">
      <alignment horizontal="left" vertical="center"/>
    </xf>
    <xf numFmtId="0" fontId="30" fillId="6" borderId="36" xfId="0" applyFont="1" applyFill="1" applyBorder="1" applyAlignment="1">
      <alignment horizontal="left" vertical="center"/>
    </xf>
    <xf numFmtId="0" fontId="9" fillId="0" borderId="0" xfId="0" applyFont="1" applyFill="1" applyBorder="1" applyAlignment="1" applyProtection="1">
      <alignment horizontal="left"/>
    </xf>
    <xf numFmtId="0" fontId="9" fillId="6" borderId="22" xfId="0" applyFont="1" applyFill="1" applyBorder="1" applyAlignment="1" applyProtection="1">
      <alignment horizontal="left"/>
    </xf>
    <xf numFmtId="0" fontId="8" fillId="0" borderId="0" xfId="0" applyFont="1" applyBorder="1" applyAlignment="1">
      <alignment horizontal="left" vertical="top" wrapText="1"/>
    </xf>
    <xf numFmtId="164" fontId="8" fillId="7" borderId="1" xfId="3" applyNumberFormat="1" applyFont="1" applyFill="1" applyBorder="1"/>
    <xf numFmtId="0" fontId="16" fillId="0" borderId="0" xfId="0" applyFont="1" applyBorder="1" applyAlignment="1" applyProtection="1">
      <alignment horizontal="left" vertical="center" wrapText="1"/>
    </xf>
    <xf numFmtId="0" fontId="30" fillId="6" borderId="0" xfId="0" applyFont="1" applyFill="1" applyBorder="1" applyAlignment="1" applyProtection="1">
      <alignment horizontal="left"/>
    </xf>
    <xf numFmtId="0" fontId="8" fillId="0" borderId="0" xfId="0" applyFont="1" applyAlignment="1">
      <alignment horizontal="left" vertical="center"/>
    </xf>
    <xf numFmtId="0" fontId="20" fillId="0" borderId="0" xfId="0" applyFont="1" applyFill="1" applyBorder="1" applyAlignment="1" applyProtection="1">
      <alignment vertical="center" wrapText="1"/>
      <protection locked="0"/>
    </xf>
    <xf numFmtId="0" fontId="29" fillId="3" borderId="1" xfId="0" applyFont="1" applyFill="1" applyBorder="1" applyAlignment="1" applyProtection="1">
      <alignment vertical="center"/>
    </xf>
    <xf numFmtId="164" fontId="8" fillId="0" borderId="0" xfId="0" applyNumberFormat="1" applyFont="1" applyFill="1" applyBorder="1" applyAlignment="1" applyProtection="1">
      <alignment vertical="center"/>
    </xf>
    <xf numFmtId="0" fontId="26" fillId="0" borderId="0" xfId="0" applyFont="1" applyFill="1" applyBorder="1" applyAlignment="1" applyProtection="1">
      <alignment horizontal="left" vertical="top"/>
    </xf>
    <xf numFmtId="170" fontId="8" fillId="0" borderId="0" xfId="2" applyNumberFormat="1" applyFont="1" applyFill="1" applyBorder="1" applyProtection="1"/>
    <xf numFmtId="9" fontId="28" fillId="0" borderId="0" xfId="0" applyNumberFormat="1" applyFont="1" applyFill="1" applyBorder="1" applyProtection="1"/>
    <xf numFmtId="9" fontId="8" fillId="0" borderId="0" xfId="2" applyFont="1" applyFill="1" applyBorder="1" applyAlignment="1" applyProtection="1">
      <alignment wrapText="1"/>
    </xf>
    <xf numFmtId="165" fontId="8" fillId="0" borderId="0" xfId="0" applyNumberFormat="1" applyFont="1" applyFill="1" applyBorder="1" applyAlignment="1" applyProtection="1">
      <alignment wrapText="1"/>
    </xf>
    <xf numFmtId="43" fontId="8" fillId="0" borderId="0" xfId="0" applyNumberFormat="1" applyFont="1" applyFill="1" applyBorder="1" applyAlignment="1" applyProtection="1">
      <alignment wrapText="1"/>
    </xf>
    <xf numFmtId="43" fontId="8" fillId="0" borderId="0" xfId="0" applyNumberFormat="1" applyFont="1" applyBorder="1" applyAlignment="1" applyProtection="1">
      <alignment wrapText="1"/>
    </xf>
    <xf numFmtId="169" fontId="8" fillId="0" borderId="0" xfId="0" applyNumberFormat="1" applyFont="1" applyBorder="1" applyAlignment="1" applyProtection="1">
      <alignment wrapText="1"/>
    </xf>
    <xf numFmtId="0" fontId="20" fillId="0" borderId="0" xfId="0" applyFont="1" applyFill="1" applyBorder="1" applyAlignment="1" applyProtection="1">
      <alignment horizontal="left" vertical="top" wrapText="1"/>
    </xf>
    <xf numFmtId="0" fontId="35" fillId="0" borderId="0" xfId="0" applyFont="1" applyFill="1" applyBorder="1" applyAlignment="1">
      <alignment vertical="center"/>
    </xf>
    <xf numFmtId="164" fontId="35" fillId="0" borderId="0" xfId="3" applyNumberFormat="1" applyFont="1" applyFill="1" applyBorder="1" applyAlignment="1">
      <alignment vertical="center"/>
    </xf>
    <xf numFmtId="0" fontId="16" fillId="0" borderId="0" xfId="0" applyFont="1" applyFill="1" applyBorder="1" applyAlignment="1" applyProtection="1">
      <alignment horizontal="left" vertical="center"/>
    </xf>
    <xf numFmtId="0" fontId="8" fillId="0" borderId="0" xfId="0" applyFont="1" applyFill="1" applyBorder="1" applyAlignment="1" applyProtection="1">
      <alignment horizontal="right"/>
    </xf>
    <xf numFmtId="9" fontId="8" fillId="0" borderId="0" xfId="2" applyFont="1" applyFill="1" applyBorder="1" applyProtection="1"/>
    <xf numFmtId="0" fontId="30" fillId="0" borderId="0" xfId="0" applyFont="1" applyFill="1" applyBorder="1" applyProtection="1"/>
    <xf numFmtId="0" fontId="16" fillId="0" borderId="0" xfId="0" applyFont="1" applyFill="1" applyBorder="1" applyProtection="1"/>
    <xf numFmtId="44" fontId="8" fillId="0" borderId="0" xfId="0" applyNumberFormat="1" applyFont="1" applyProtection="1"/>
    <xf numFmtId="9" fontId="30" fillId="0" borderId="0" xfId="2" applyFont="1" applyFill="1" applyBorder="1" applyAlignment="1" applyProtection="1">
      <alignment horizontal="left"/>
    </xf>
    <xf numFmtId="0" fontId="30" fillId="0" borderId="0" xfId="0" applyFont="1" applyFill="1" applyBorder="1" applyAlignment="1" applyProtection="1">
      <alignment horizontal="center"/>
      <protection locked="0"/>
    </xf>
    <xf numFmtId="0" fontId="8" fillId="0" borderId="0" xfId="0" applyFont="1" applyFill="1" applyBorder="1" applyProtection="1">
      <protection locked="0"/>
    </xf>
    <xf numFmtId="0" fontId="8" fillId="0" borderId="0" xfId="0" applyFont="1" applyFill="1" applyBorder="1" applyAlignment="1" applyProtection="1">
      <alignment horizontal="center"/>
      <protection locked="0"/>
    </xf>
    <xf numFmtId="0" fontId="16" fillId="0" borderId="0" xfId="0" applyFont="1" applyFill="1" applyBorder="1" applyAlignment="1" applyProtection="1">
      <alignment horizontal="center"/>
      <protection locked="0"/>
    </xf>
    <xf numFmtId="0" fontId="39" fillId="0" borderId="0" xfId="0" applyFont="1" applyFill="1" applyBorder="1" applyAlignment="1" applyProtection="1">
      <alignment vertical="center"/>
    </xf>
    <xf numFmtId="0" fontId="28" fillId="0" borderId="0" xfId="0" applyFont="1" applyFill="1" applyBorder="1" applyProtection="1"/>
    <xf numFmtId="0" fontId="18" fillId="0" borderId="0" xfId="0" applyFont="1" applyFill="1" applyBorder="1" applyAlignment="1" applyProtection="1">
      <alignment horizontal="left" vertical="top"/>
    </xf>
    <xf numFmtId="0" fontId="8" fillId="0" borderId="25" xfId="0" applyFont="1" applyFill="1" applyBorder="1" applyAlignment="1" applyProtection="1">
      <alignment wrapText="1"/>
    </xf>
    <xf numFmtId="9" fontId="8" fillId="0" borderId="0" xfId="3" applyNumberFormat="1" applyFont="1" applyFill="1" applyBorder="1" applyAlignment="1" applyProtection="1">
      <alignment horizontal="right"/>
      <protection locked="0"/>
    </xf>
    <xf numFmtId="164" fontId="8" fillId="0" borderId="0" xfId="3" applyNumberFormat="1" applyFont="1" applyFill="1" applyBorder="1" applyAlignment="1" applyProtection="1">
      <alignment horizontal="left"/>
      <protection locked="0"/>
    </xf>
    <xf numFmtId="164" fontId="8" fillId="0" borderId="0" xfId="3" applyNumberFormat="1" applyFont="1" applyFill="1" applyBorder="1" applyAlignment="1" applyProtection="1">
      <alignment horizontal="center"/>
      <protection locked="0"/>
    </xf>
    <xf numFmtId="167" fontId="16" fillId="0" borderId="0" xfId="2" applyNumberFormat="1" applyFont="1" applyFill="1" applyBorder="1" applyAlignment="1" applyProtection="1">
      <alignment horizontal="left" wrapText="1"/>
    </xf>
    <xf numFmtId="10" fontId="40" fillId="0" borderId="0" xfId="2" applyNumberFormat="1" applyFont="1" applyFill="1" applyBorder="1" applyAlignment="1" applyProtection="1">
      <alignment horizontal="left" wrapText="1"/>
    </xf>
    <xf numFmtId="165" fontId="16" fillId="0" borderId="0" xfId="1" applyNumberFormat="1" applyFont="1" applyFill="1" applyBorder="1" applyAlignment="1" applyProtection="1">
      <alignment horizontal="left" wrapText="1"/>
    </xf>
    <xf numFmtId="0" fontId="12" fillId="0" borderId="0" xfId="0" applyFont="1" applyFill="1" applyBorder="1" applyAlignment="1">
      <alignment vertical="top"/>
    </xf>
    <xf numFmtId="0" fontId="8" fillId="0" borderId="25" xfId="0" applyFont="1" applyFill="1" applyBorder="1" applyAlignment="1" applyProtection="1">
      <alignment vertical="top" wrapText="1"/>
    </xf>
    <xf numFmtId="44" fontId="8" fillId="0" borderId="0" xfId="0" applyNumberFormat="1" applyFont="1" applyFill="1" applyBorder="1" applyAlignment="1" applyProtection="1">
      <alignment wrapText="1"/>
    </xf>
    <xf numFmtId="0" fontId="30" fillId="0" borderId="0" xfId="0" applyFont="1" applyFill="1" applyAlignment="1" applyProtection="1">
      <alignment wrapText="1"/>
    </xf>
    <xf numFmtId="164" fontId="16" fillId="0" borderId="0" xfId="3" applyNumberFormat="1" applyFont="1" applyFill="1" applyBorder="1" applyAlignment="1" applyProtection="1">
      <alignment horizontal="right" vertical="center"/>
    </xf>
    <xf numFmtId="0" fontId="37" fillId="5" borderId="13" xfId="0" applyFont="1" applyFill="1" applyBorder="1" applyAlignment="1" applyProtection="1">
      <alignment vertical="center"/>
    </xf>
    <xf numFmtId="0" fontId="16" fillId="5" borderId="14" xfId="0" applyFont="1" applyFill="1" applyBorder="1" applyAlignment="1" applyProtection="1">
      <alignment vertical="center"/>
    </xf>
    <xf numFmtId="0" fontId="16" fillId="5" borderId="15" xfId="0" applyFont="1" applyFill="1" applyBorder="1" applyAlignment="1" applyProtection="1">
      <alignment vertical="center"/>
    </xf>
    <xf numFmtId="10" fontId="8" fillId="7" borderId="20" xfId="2" applyNumberFormat="1" applyFont="1" applyFill="1" applyBorder="1"/>
    <xf numFmtId="0" fontId="16" fillId="0" borderId="21" xfId="0" applyFont="1" applyFill="1" applyBorder="1" applyAlignment="1" applyProtection="1">
      <alignment horizontal="left" vertical="center"/>
    </xf>
    <xf numFmtId="0" fontId="16" fillId="0" borderId="20" xfId="0" applyFont="1" applyFill="1" applyBorder="1" applyAlignment="1" applyProtection="1">
      <alignment horizontal="left" vertical="center"/>
    </xf>
    <xf numFmtId="0" fontId="16" fillId="0" borderId="23" xfId="0" applyFont="1" applyFill="1" applyBorder="1" applyAlignment="1" applyProtection="1">
      <alignment horizontal="left" vertical="center"/>
    </xf>
    <xf numFmtId="0" fontId="16" fillId="0" borderId="0" xfId="0" applyFont="1" applyFill="1" applyBorder="1" applyAlignment="1" applyProtection="1">
      <alignment horizontal="left" vertical="center"/>
    </xf>
    <xf numFmtId="0" fontId="16" fillId="0" borderId="21" xfId="0" applyFont="1" applyFill="1" applyBorder="1" applyAlignment="1" applyProtection="1">
      <alignment horizontal="left" vertical="center"/>
    </xf>
    <xf numFmtId="0" fontId="16" fillId="0" borderId="20" xfId="0" applyFont="1" applyFill="1" applyBorder="1" applyAlignment="1" applyProtection="1">
      <alignment horizontal="left" vertical="center"/>
    </xf>
    <xf numFmtId="0" fontId="16" fillId="0" borderId="23" xfId="0" applyFont="1" applyFill="1" applyBorder="1" applyAlignment="1" applyProtection="1">
      <alignment horizontal="left" vertical="center"/>
    </xf>
    <xf numFmtId="0" fontId="9" fillId="6" borderId="0" xfId="0" applyFont="1" applyFill="1" applyBorder="1" applyAlignment="1" applyProtection="1">
      <alignment horizontal="left"/>
    </xf>
    <xf numFmtId="0" fontId="30" fillId="6" borderId="0" xfId="0" applyFont="1" applyFill="1" applyBorder="1" applyAlignment="1" applyProtection="1">
      <alignment horizontal="left"/>
    </xf>
    <xf numFmtId="0" fontId="8" fillId="0" borderId="11" xfId="0" applyFont="1" applyBorder="1" applyAlignment="1">
      <alignment wrapText="1"/>
    </xf>
    <xf numFmtId="0" fontId="9" fillId="6" borderId="0" xfId="0" applyFont="1" applyFill="1" applyBorder="1" applyAlignment="1" applyProtection="1">
      <alignment horizontal="left"/>
    </xf>
    <xf numFmtId="0" fontId="16" fillId="0" borderId="21" xfId="0" applyFont="1" applyFill="1" applyBorder="1" applyAlignment="1" applyProtection="1">
      <alignment horizontal="left" vertical="center"/>
    </xf>
    <xf numFmtId="0" fontId="16" fillId="0" borderId="20" xfId="0" applyFont="1" applyFill="1" applyBorder="1" applyAlignment="1" applyProtection="1">
      <alignment horizontal="left" vertical="center"/>
    </xf>
    <xf numFmtId="0" fontId="16" fillId="0" borderId="23" xfId="0" applyFont="1" applyFill="1" applyBorder="1" applyAlignment="1" applyProtection="1">
      <alignment horizontal="left" vertical="center"/>
    </xf>
    <xf numFmtId="0" fontId="30" fillId="6" borderId="0" xfId="0" applyFont="1" applyFill="1" applyBorder="1" applyAlignment="1" applyProtection="1">
      <alignment horizontal="left"/>
    </xf>
    <xf numFmtId="0" fontId="9" fillId="6" borderId="18" xfId="0" applyFont="1" applyFill="1" applyBorder="1" applyAlignment="1" applyProtection="1">
      <alignment horizontal="left" vertical="top"/>
    </xf>
    <xf numFmtId="0" fontId="9" fillId="6" borderId="11" xfId="0" applyFont="1" applyFill="1" applyBorder="1" applyAlignment="1" applyProtection="1">
      <alignment horizontal="left" vertical="top"/>
    </xf>
    <xf numFmtId="0" fontId="30" fillId="6" borderId="2" xfId="0" applyFont="1" applyFill="1" applyBorder="1" applyAlignment="1">
      <alignment horizontal="left" vertical="center"/>
    </xf>
    <xf numFmtId="0" fontId="30" fillId="6" borderId="17" xfId="0" applyFont="1" applyFill="1" applyBorder="1" applyAlignment="1">
      <alignment horizontal="left" vertical="center"/>
    </xf>
    <xf numFmtId="0" fontId="8" fillId="0" borderId="0" xfId="0" applyFont="1" applyAlignment="1">
      <alignment vertical="top"/>
    </xf>
    <xf numFmtId="0" fontId="30" fillId="6" borderId="0" xfId="0" applyFont="1" applyFill="1" applyBorder="1" applyAlignment="1" applyProtection="1">
      <alignment horizontal="left" vertical="top"/>
    </xf>
    <xf numFmtId="0" fontId="8" fillId="0" borderId="0" xfId="0" applyFont="1" applyAlignment="1" applyProtection="1">
      <alignment vertical="top"/>
    </xf>
    <xf numFmtId="0" fontId="0" fillId="0" borderId="0" xfId="0" applyAlignment="1">
      <alignment vertical="top"/>
    </xf>
    <xf numFmtId="0" fontId="8" fillId="0" borderId="0" xfId="0" applyFont="1" applyBorder="1" applyAlignment="1" applyProtection="1">
      <alignment vertical="top"/>
    </xf>
    <xf numFmtId="0" fontId="8" fillId="0" borderId="0" xfId="0" applyFont="1" applyFill="1" applyBorder="1" applyAlignment="1" applyProtection="1">
      <alignment vertical="top" wrapText="1"/>
      <protection locked="0"/>
    </xf>
    <xf numFmtId="0" fontId="9" fillId="6" borderId="2" xfId="0" applyFont="1" applyFill="1" applyBorder="1" applyAlignment="1" applyProtection="1">
      <alignment horizontal="left"/>
    </xf>
    <xf numFmtId="0" fontId="9" fillId="6" borderId="17" xfId="0" applyFont="1" applyFill="1" applyBorder="1" applyAlignment="1" applyProtection="1">
      <alignment horizontal="left"/>
    </xf>
    <xf numFmtId="0" fontId="30" fillId="6" borderId="2" xfId="0" applyFont="1" applyFill="1" applyBorder="1" applyAlignment="1" applyProtection="1">
      <alignment horizontal="left"/>
    </xf>
    <xf numFmtId="0" fontId="30" fillId="6" borderId="17" xfId="0" applyFont="1" applyFill="1" applyBorder="1" applyAlignment="1" applyProtection="1">
      <alignment horizontal="left"/>
    </xf>
    <xf numFmtId="9" fontId="8" fillId="4" borderId="20" xfId="0" applyNumberFormat="1" applyFont="1" applyFill="1" applyBorder="1"/>
    <xf numFmtId="9" fontId="8" fillId="4" borderId="20" xfId="2" applyNumberFormat="1" applyFont="1" applyFill="1" applyBorder="1"/>
    <xf numFmtId="0" fontId="30" fillId="6" borderId="38" xfId="0" applyFont="1" applyFill="1" applyBorder="1" applyAlignment="1">
      <alignment horizontal="center" wrapText="1"/>
    </xf>
    <xf numFmtId="0" fontId="30" fillId="6" borderId="39" xfId="0" applyFont="1" applyFill="1" applyBorder="1" applyAlignment="1">
      <alignment horizontal="center" wrapText="1"/>
    </xf>
    <xf numFmtId="0" fontId="30" fillId="6" borderId="40" xfId="0" applyFont="1" applyFill="1" applyBorder="1" applyAlignment="1">
      <alignment horizontal="center" wrapText="1"/>
    </xf>
    <xf numFmtId="0" fontId="30" fillId="3" borderId="11" xfId="0" applyFont="1" applyFill="1" applyBorder="1" applyAlignment="1" applyProtection="1">
      <alignment vertical="center"/>
    </xf>
    <xf numFmtId="0" fontId="29" fillId="3" borderId="19" xfId="0" applyFont="1" applyFill="1" applyBorder="1" applyAlignment="1" applyProtection="1">
      <alignment vertical="center"/>
    </xf>
    <xf numFmtId="0" fontId="30" fillId="6" borderId="12" xfId="0" applyFont="1" applyFill="1" applyBorder="1" applyAlignment="1">
      <alignment vertical="center"/>
    </xf>
    <xf numFmtId="0" fontId="30" fillId="6" borderId="41" xfId="0" applyFont="1" applyFill="1" applyBorder="1" applyAlignment="1">
      <alignment horizontal="center" vertical="center"/>
    </xf>
    <xf numFmtId="0" fontId="30" fillId="6" borderId="21" xfId="0" applyFont="1" applyFill="1" applyBorder="1" applyAlignment="1">
      <alignment horizontal="center" vertical="center"/>
    </xf>
    <xf numFmtId="0" fontId="30" fillId="6" borderId="39" xfId="0" applyFont="1" applyFill="1" applyBorder="1" applyAlignment="1">
      <alignment horizontal="center" vertical="center" wrapText="1"/>
    </xf>
    <xf numFmtId="164" fontId="8" fillId="4" borderId="20" xfId="1" applyNumberFormat="1" applyFont="1" applyFill="1" applyBorder="1"/>
    <xf numFmtId="0" fontId="8" fillId="0" borderId="17" xfId="0" applyFont="1" applyBorder="1" applyAlignment="1">
      <alignment wrapText="1"/>
    </xf>
    <xf numFmtId="164" fontId="8" fillId="7" borderId="16" xfId="3" applyNumberFormat="1" applyFont="1" applyFill="1" applyBorder="1"/>
    <xf numFmtId="0" fontId="30" fillId="6" borderId="34" xfId="0" applyFont="1" applyFill="1" applyBorder="1" applyAlignment="1">
      <alignment horizontal="center" wrapText="1"/>
    </xf>
    <xf numFmtId="0" fontId="30" fillId="6" borderId="35" xfId="0" applyFont="1" applyFill="1" applyBorder="1" applyAlignment="1">
      <alignment horizontal="center" wrapText="1"/>
    </xf>
    <xf numFmtId="0" fontId="30" fillId="6" borderId="12" xfId="0" applyFont="1" applyFill="1" applyBorder="1" applyAlignment="1">
      <alignment horizontal="center"/>
    </xf>
    <xf numFmtId="0" fontId="30" fillId="6" borderId="41" xfId="0" applyFont="1" applyFill="1" applyBorder="1" applyAlignment="1">
      <alignment horizontal="center" wrapText="1"/>
    </xf>
    <xf numFmtId="0" fontId="30" fillId="6" borderId="41" xfId="0" applyFont="1" applyFill="1" applyBorder="1" applyAlignment="1">
      <alignment horizontal="center"/>
    </xf>
    <xf numFmtId="0" fontId="30" fillId="6" borderId="21" xfId="0" applyFont="1" applyFill="1" applyBorder="1" applyAlignment="1">
      <alignment horizontal="center"/>
    </xf>
    <xf numFmtId="0" fontId="30" fillId="6" borderId="32" xfId="0" applyFont="1" applyFill="1" applyBorder="1" applyAlignment="1">
      <alignment horizontal="center"/>
    </xf>
    <xf numFmtId="0" fontId="30" fillId="6" borderId="33" xfId="0" applyFont="1" applyFill="1" applyBorder="1" applyAlignment="1">
      <alignment horizontal="center" wrapText="1"/>
    </xf>
    <xf numFmtId="0" fontId="30" fillId="6" borderId="37" xfId="0" applyFont="1" applyFill="1" applyBorder="1" applyAlignment="1">
      <alignment horizontal="center" wrapText="1"/>
    </xf>
    <xf numFmtId="0" fontId="30" fillId="6" borderId="38" xfId="0" applyFont="1" applyFill="1" applyBorder="1" applyAlignment="1">
      <alignment horizontal="center"/>
    </xf>
    <xf numFmtId="0" fontId="30" fillId="6" borderId="39" xfId="0" applyFont="1" applyFill="1" applyBorder="1" applyAlignment="1">
      <alignment horizontal="center"/>
    </xf>
    <xf numFmtId="0" fontId="30" fillId="6" borderId="22" xfId="0" applyFont="1" applyFill="1" applyBorder="1" applyAlignment="1" applyProtection="1">
      <alignment horizontal="center"/>
    </xf>
    <xf numFmtId="0" fontId="30" fillId="6" borderId="21" xfId="0" applyFont="1" applyFill="1" applyBorder="1" applyAlignment="1">
      <alignment horizontal="center" wrapText="1"/>
    </xf>
    <xf numFmtId="0" fontId="30" fillId="6" borderId="38" xfId="0" applyFont="1" applyFill="1" applyBorder="1" applyAlignment="1">
      <alignment horizontal="center" vertical="center"/>
    </xf>
    <xf numFmtId="0" fontId="30" fillId="6" borderId="12" xfId="0" applyFont="1" applyFill="1" applyBorder="1" applyAlignment="1">
      <alignment horizontal="center" wrapText="1"/>
    </xf>
    <xf numFmtId="0" fontId="30" fillId="6" borderId="24" xfId="0" applyFont="1" applyFill="1" applyBorder="1" applyAlignment="1">
      <alignment horizontal="center"/>
    </xf>
    <xf numFmtId="0" fontId="30" fillId="6" borderId="36" xfId="0" applyFont="1" applyFill="1" applyBorder="1" applyAlignment="1">
      <alignment horizontal="center"/>
    </xf>
    <xf numFmtId="0" fontId="30" fillId="6" borderId="36" xfId="0" applyFont="1" applyFill="1" applyBorder="1" applyAlignment="1">
      <alignment horizontal="center" wrapText="1"/>
    </xf>
    <xf numFmtId="0" fontId="30" fillId="6" borderId="17" xfId="0" applyFont="1" applyFill="1" applyBorder="1" applyAlignment="1">
      <alignment horizontal="center" wrapText="1"/>
    </xf>
    <xf numFmtId="0" fontId="30" fillId="6" borderId="16" xfId="0" applyFont="1" applyFill="1" applyBorder="1" applyAlignment="1">
      <alignment horizontal="center" wrapText="1"/>
    </xf>
    <xf numFmtId="0" fontId="30" fillId="6" borderId="20" xfId="0" applyFont="1" applyFill="1" applyBorder="1" applyAlignment="1">
      <alignment horizontal="center" wrapText="1"/>
    </xf>
    <xf numFmtId="0" fontId="30" fillId="6" borderId="22" xfId="0" applyFont="1" applyFill="1" applyBorder="1" applyAlignment="1" applyProtection="1">
      <alignment horizontal="center" wrapText="1"/>
    </xf>
    <xf numFmtId="0" fontId="30" fillId="6" borderId="12" xfId="0" applyFont="1" applyFill="1" applyBorder="1" applyAlignment="1" applyProtection="1">
      <alignment horizontal="center"/>
    </xf>
    <xf numFmtId="0" fontId="30" fillId="6" borderId="41" xfId="0" applyFont="1" applyFill="1" applyBorder="1" applyAlignment="1" applyProtection="1">
      <alignment horizontal="center"/>
    </xf>
    <xf numFmtId="0" fontId="30" fillId="6" borderId="41" xfId="0" applyFont="1" applyFill="1" applyBorder="1" applyAlignment="1" applyProtection="1">
      <alignment horizontal="center" wrapText="1"/>
    </xf>
    <xf numFmtId="0" fontId="35" fillId="4" borderId="19" xfId="0" applyFont="1" applyFill="1" applyBorder="1" applyAlignment="1">
      <alignment vertical="center"/>
    </xf>
    <xf numFmtId="164" fontId="35" fillId="4" borderId="18" xfId="3" applyNumberFormat="1" applyFont="1" applyFill="1" applyBorder="1" applyAlignment="1">
      <alignment vertical="center"/>
    </xf>
    <xf numFmtId="164" fontId="35" fillId="4" borderId="11" xfId="3" applyNumberFormat="1" applyFont="1" applyFill="1" applyBorder="1" applyAlignment="1">
      <alignment vertical="center"/>
    </xf>
    <xf numFmtId="0" fontId="35" fillId="4" borderId="19" xfId="0" applyFont="1" applyFill="1" applyBorder="1" applyAlignment="1" applyProtection="1">
      <alignment vertical="center"/>
    </xf>
    <xf numFmtId="164" fontId="35" fillId="4" borderId="18" xfId="0" applyNumberFormat="1" applyFont="1" applyFill="1" applyBorder="1" applyAlignment="1" applyProtection="1">
      <alignment horizontal="right"/>
    </xf>
    <xf numFmtId="164" fontId="32" fillId="4" borderId="18" xfId="0" applyNumberFormat="1" applyFont="1" applyFill="1" applyBorder="1" applyAlignment="1" applyProtection="1">
      <alignment horizontal="right"/>
    </xf>
    <xf numFmtId="164" fontId="32" fillId="4" borderId="11" xfId="0" applyNumberFormat="1" applyFont="1" applyFill="1" applyBorder="1" applyAlignment="1" applyProtection="1">
      <alignment horizontal="right"/>
    </xf>
    <xf numFmtId="164" fontId="35" fillId="4" borderId="18" xfId="0" applyNumberFormat="1" applyFont="1" applyFill="1" applyBorder="1" applyAlignment="1" applyProtection="1">
      <alignment vertical="center"/>
    </xf>
    <xf numFmtId="164" fontId="32" fillId="4" borderId="18" xfId="0" applyNumberFormat="1" applyFont="1" applyFill="1" applyBorder="1" applyAlignment="1" applyProtection="1">
      <alignment vertical="center"/>
    </xf>
    <xf numFmtId="164" fontId="32" fillId="4" borderId="11" xfId="0" applyNumberFormat="1" applyFont="1" applyFill="1" applyBorder="1" applyAlignment="1" applyProtection="1">
      <alignment vertical="center"/>
    </xf>
    <xf numFmtId="0" fontId="20" fillId="8" borderId="43" xfId="8" applyProtection="1"/>
    <xf numFmtId="0" fontId="19" fillId="10" borderId="42" xfId="9" applyProtection="1"/>
    <xf numFmtId="164" fontId="19" fillId="10" borderId="42" xfId="9" applyNumberFormat="1" applyAlignment="1" applyProtection="1">
      <alignment vertical="center"/>
    </xf>
    <xf numFmtId="165" fontId="19" fillId="10" borderId="42" xfId="9" applyNumberFormat="1" applyAlignment="1" applyProtection="1">
      <alignment vertical="center"/>
    </xf>
    <xf numFmtId="6" fontId="19" fillId="10" borderId="42" xfId="9" applyNumberFormat="1" applyAlignment="1" applyProtection="1">
      <alignment vertical="center"/>
    </xf>
    <xf numFmtId="164" fontId="19" fillId="10" borderId="42" xfId="9" applyNumberFormat="1" applyAlignment="1" applyProtection="1">
      <alignment horizontal="right" vertical="center"/>
    </xf>
    <xf numFmtId="9" fontId="19" fillId="10" borderId="42" xfId="9" applyNumberFormat="1" applyProtection="1"/>
    <xf numFmtId="164" fontId="19" fillId="10" borderId="42" xfId="9" applyNumberFormat="1" applyProtection="1"/>
    <xf numFmtId="164" fontId="19" fillId="10" borderId="42" xfId="9" applyNumberFormat="1" applyAlignment="1" applyProtection="1">
      <protection locked="0"/>
    </xf>
    <xf numFmtId="164" fontId="20" fillId="8" borderId="43" xfId="8" applyNumberFormat="1" applyAlignment="1" applyProtection="1"/>
    <xf numFmtId="164" fontId="19" fillId="10" borderId="42" xfId="9" applyNumberFormat="1" applyAlignment="1" applyProtection="1"/>
    <xf numFmtId="164" fontId="20" fillId="8" borderId="43" xfId="8" applyNumberFormat="1" applyProtection="1">
      <protection locked="0"/>
    </xf>
    <xf numFmtId="164" fontId="20" fillId="8" borderId="43" xfId="8" applyNumberFormat="1" applyAlignment="1" applyProtection="1">
      <protection locked="0"/>
    </xf>
    <xf numFmtId="0" fontId="35" fillId="4" borderId="11" xfId="0" applyFont="1" applyFill="1" applyBorder="1" applyAlignment="1" applyProtection="1">
      <alignment vertical="center"/>
    </xf>
    <xf numFmtId="0" fontId="35" fillId="4" borderId="17" xfId="0" applyFont="1" applyFill="1" applyBorder="1" applyAlignment="1" applyProtection="1">
      <alignment vertical="center"/>
    </xf>
    <xf numFmtId="0" fontId="20" fillId="8" borderId="43" xfId="8" applyAlignment="1" applyProtection="1">
      <alignment wrapText="1"/>
      <protection locked="0"/>
    </xf>
    <xf numFmtId="0" fontId="20" fillId="8" borderId="43" xfId="8" applyNumberFormat="1" applyAlignment="1" applyProtection="1">
      <alignment horizontal="right"/>
      <protection locked="0"/>
    </xf>
    <xf numFmtId="9" fontId="20" fillId="8" borderId="43" xfId="8" applyNumberFormat="1" applyProtection="1">
      <protection locked="0"/>
    </xf>
    <xf numFmtId="164" fontId="20" fillId="8" borderId="43" xfId="8" applyNumberFormat="1" applyProtection="1"/>
    <xf numFmtId="9" fontId="20" fillId="8" borderId="43" xfId="8" quotePrefix="1" applyNumberFormat="1" applyProtection="1">
      <protection locked="0"/>
    </xf>
    <xf numFmtId="164" fontId="19" fillId="10" borderId="42" xfId="9" applyNumberFormat="1" applyAlignment="1" applyProtection="1">
      <alignment wrapText="1"/>
    </xf>
    <xf numFmtId="0" fontId="20" fillId="9" borderId="43" xfId="10" applyFont="1" applyAlignment="1" applyProtection="1">
      <alignment horizontal="left" vertical="top" wrapText="1"/>
      <protection locked="0"/>
    </xf>
    <xf numFmtId="0" fontId="38" fillId="9" borderId="43" xfId="10" applyFont="1" applyAlignment="1" applyProtection="1">
      <alignment horizontal="left" vertical="top" wrapText="1"/>
      <protection locked="0"/>
    </xf>
    <xf numFmtId="0" fontId="20" fillId="8" borderId="43" xfId="8" applyAlignment="1" applyProtection="1">
      <alignment horizontal="left" vertical="top" wrapText="1"/>
      <protection locked="0"/>
    </xf>
    <xf numFmtId="0" fontId="20" fillId="8" borderId="43" xfId="8" quotePrefix="1" applyAlignment="1" applyProtection="1">
      <alignment horizontal="left" vertical="top" wrapText="1"/>
      <protection locked="0"/>
    </xf>
    <xf numFmtId="0" fontId="8" fillId="9" borderId="43" xfId="10" applyFont="1" applyAlignment="1" applyProtection="1">
      <alignment horizontal="left" vertical="top" wrapText="1"/>
      <protection locked="0"/>
    </xf>
    <xf numFmtId="0" fontId="8" fillId="9" borderId="43" xfId="10" applyNumberFormat="1" applyFont="1" applyAlignment="1" applyProtection="1">
      <alignment horizontal="left" vertical="top" wrapText="1"/>
      <protection locked="0"/>
    </xf>
    <xf numFmtId="0" fontId="8" fillId="9" borderId="43" xfId="10" applyFont="1" applyAlignment="1" applyProtection="1">
      <alignment horizontal="left" vertical="top" wrapText="1"/>
    </xf>
    <xf numFmtId="1" fontId="8" fillId="9" borderId="43" xfId="10" applyNumberFormat="1" applyFont="1" applyAlignment="1" applyProtection="1">
      <alignment horizontal="left" vertical="top" wrapText="1"/>
      <protection locked="0"/>
    </xf>
    <xf numFmtId="0" fontId="20" fillId="8" borderId="43" xfId="8" applyAlignment="1" applyProtection="1">
      <alignment horizontal="left" vertical="top"/>
    </xf>
    <xf numFmtId="0" fontId="20" fillId="8" borderId="43" xfId="8" applyNumberFormat="1" applyProtection="1">
      <protection locked="0"/>
    </xf>
    <xf numFmtId="0" fontId="20" fillId="8" borderId="43" xfId="8" applyAlignment="1" applyProtection="1">
      <alignment horizontal="left" vertical="top" wrapText="1"/>
    </xf>
    <xf numFmtId="1" fontId="20" fillId="8" borderId="43" xfId="8" applyNumberFormat="1" applyProtection="1">
      <protection locked="0"/>
    </xf>
    <xf numFmtId="0" fontId="20" fillId="8" borderId="43" xfId="8" applyProtection="1">
      <protection locked="0"/>
    </xf>
    <xf numFmtId="44" fontId="20" fillId="8" borderId="43" xfId="8" applyNumberFormat="1" applyProtection="1">
      <protection locked="0"/>
    </xf>
    <xf numFmtId="168" fontId="20" fillId="8" borderId="43" xfId="8" applyNumberFormat="1" applyProtection="1">
      <protection locked="0"/>
    </xf>
    <xf numFmtId="0" fontId="19" fillId="10" borderId="42" xfId="9" applyAlignment="1" applyProtection="1">
      <alignment wrapText="1"/>
    </xf>
    <xf numFmtId="0" fontId="19" fillId="10" borderId="42" xfId="9" quotePrefix="1" applyProtection="1"/>
    <xf numFmtId="0" fontId="20" fillId="8" borderId="43" xfId="8" quotePrefix="1" applyAlignment="1" applyProtection="1">
      <alignment wrapText="1"/>
      <protection locked="0"/>
    </xf>
    <xf numFmtId="0" fontId="8" fillId="9" borderId="43" xfId="10" quotePrefix="1" applyFont="1" applyAlignment="1" applyProtection="1">
      <alignment wrapText="1"/>
      <protection locked="0"/>
    </xf>
    <xf numFmtId="0" fontId="20" fillId="8" borderId="43" xfId="8" applyAlignment="1">
      <alignment horizontal="left" vertical="top" wrapText="1"/>
    </xf>
    <xf numFmtId="9" fontId="20" fillId="8" borderId="43" xfId="8" applyNumberFormat="1" applyAlignment="1">
      <alignment horizontal="left" vertical="top"/>
    </xf>
    <xf numFmtId="164" fontId="20" fillId="8" borderId="43" xfId="8" applyNumberFormat="1" applyAlignment="1">
      <alignment horizontal="left" vertical="top"/>
    </xf>
    <xf numFmtId="164" fontId="19" fillId="10" borderId="42" xfId="9" applyNumberFormat="1" applyAlignment="1">
      <alignment horizontal="left" vertical="top"/>
    </xf>
    <xf numFmtId="0" fontId="20" fillId="8" borderId="43" xfId="8" applyAlignment="1" applyProtection="1">
      <alignment horizontal="right" wrapText="1"/>
    </xf>
    <xf numFmtId="0" fontId="19" fillId="10" borderId="42" xfId="9" applyAlignment="1" applyProtection="1">
      <alignment horizontal="right"/>
    </xf>
    <xf numFmtId="9" fontId="19" fillId="10" borderId="42" xfId="9" applyNumberFormat="1" applyAlignment="1" applyProtection="1">
      <alignment horizontal="right"/>
    </xf>
    <xf numFmtId="164" fontId="19" fillId="10" borderId="42" xfId="9" applyNumberFormat="1" applyAlignment="1" applyProtection="1">
      <alignment horizontal="right"/>
    </xf>
    <xf numFmtId="0" fontId="20" fillId="8" borderId="43" xfId="8" applyNumberFormat="1" applyAlignment="1" applyProtection="1">
      <alignment horizontal="left" vertical="top"/>
      <protection locked="0"/>
    </xf>
    <xf numFmtId="164" fontId="20" fillId="8" borderId="43" xfId="8" applyNumberFormat="1" applyAlignment="1" applyProtection="1">
      <alignment horizontal="left" vertical="top"/>
      <protection locked="0"/>
    </xf>
    <xf numFmtId="9" fontId="20" fillId="8" borderId="43" xfId="8" applyNumberFormat="1" applyAlignment="1" applyProtection="1">
      <alignment horizontal="left" vertical="top"/>
      <protection locked="0"/>
    </xf>
    <xf numFmtId="164" fontId="19" fillId="10" borderId="42" xfId="9" applyNumberFormat="1" applyAlignment="1" applyProtection="1">
      <alignment horizontal="left" vertical="top"/>
    </xf>
    <xf numFmtId="0" fontId="20" fillId="8" borderId="43" xfId="8" applyAlignment="1" applyProtection="1">
      <alignment vertical="center" wrapText="1"/>
      <protection locked="0"/>
    </xf>
    <xf numFmtId="0" fontId="20" fillId="8" borderId="43" xfId="8" applyAlignment="1" applyProtection="1">
      <alignment vertical="center" wrapText="1"/>
    </xf>
    <xf numFmtId="0" fontId="38" fillId="9" borderId="43" xfId="10" applyFont="1" applyAlignment="1" applyProtection="1">
      <alignment vertical="center" wrapText="1"/>
      <protection locked="0"/>
    </xf>
    <xf numFmtId="0" fontId="20" fillId="9" borderId="43" xfId="10" applyFont="1" applyAlignment="1" applyProtection="1">
      <alignment vertical="center" wrapText="1"/>
      <protection locked="0"/>
    </xf>
    <xf numFmtId="0" fontId="8" fillId="9" borderId="43" xfId="10" applyFont="1" applyAlignment="1" applyProtection="1">
      <alignment horizontal="left" vertical="top"/>
    </xf>
    <xf numFmtId="9" fontId="8" fillId="9" borderId="43" xfId="10" applyNumberFormat="1" applyFont="1" applyAlignment="1" applyProtection="1">
      <alignment horizontal="left" vertical="top" wrapText="1"/>
    </xf>
    <xf numFmtId="165" fontId="20" fillId="8" borderId="43" xfId="8" applyNumberFormat="1" applyProtection="1">
      <protection locked="0"/>
    </xf>
    <xf numFmtId="0" fontId="20" fillId="8" borderId="43" xfId="8" applyNumberFormat="1" applyAlignment="1" applyProtection="1"/>
    <xf numFmtId="164" fontId="20" fillId="8" borderId="43" xfId="8" applyNumberFormat="1" applyAlignment="1" applyProtection="1">
      <alignment horizontal="left" vertical="top" wrapText="1"/>
    </xf>
    <xf numFmtId="166" fontId="20" fillId="8" borderId="43" xfId="8" applyNumberFormat="1" applyAlignment="1" applyProtection="1">
      <alignment horizontal="left" vertical="top" wrapText="1"/>
    </xf>
    <xf numFmtId="164" fontId="20" fillId="8" borderId="43" xfId="8" applyNumberFormat="1" applyAlignment="1" applyProtection="1">
      <alignment horizontal="left" vertical="top" wrapText="1"/>
      <protection locked="0"/>
    </xf>
    <xf numFmtId="166" fontId="20" fillId="8" borderId="43" xfId="8" applyNumberFormat="1" applyAlignment="1" applyProtection="1">
      <alignment horizontal="left" vertical="top" wrapText="1"/>
      <protection locked="0"/>
    </xf>
    <xf numFmtId="0" fontId="20" fillId="8" borderId="43" xfId="8" applyAlignment="1" applyProtection="1">
      <alignment vertical="top" wrapText="1"/>
    </xf>
    <xf numFmtId="0" fontId="19" fillId="10" borderId="42" xfId="9" applyAlignment="1" applyProtection="1">
      <alignment vertical="center" wrapText="1"/>
    </xf>
    <xf numFmtId="0" fontId="19" fillId="10" borderId="42" xfId="9" applyAlignment="1" applyProtection="1">
      <alignment vertical="top" wrapText="1"/>
    </xf>
    <xf numFmtId="2" fontId="20" fillId="8" borderId="43" xfId="8" applyNumberFormat="1" applyAlignment="1" applyProtection="1">
      <alignment horizontal="right"/>
      <protection locked="0"/>
    </xf>
    <xf numFmtId="0" fontId="20" fillId="8" borderId="43" xfId="8" applyAlignment="1" applyProtection="1">
      <alignment horizontal="right" wrapText="1"/>
      <protection locked="0"/>
    </xf>
    <xf numFmtId="0" fontId="17" fillId="9" borderId="43" xfId="10" applyFont="1" applyAlignment="1" applyProtection="1">
      <alignment horizontal="left" vertical="top" wrapText="1"/>
      <protection locked="0"/>
    </xf>
    <xf numFmtId="0" fontId="8" fillId="9" borderId="43" xfId="10" applyNumberFormat="1" applyFont="1" applyAlignment="1" applyProtection="1">
      <alignment vertical="top" wrapText="1"/>
      <protection locked="0"/>
    </xf>
    <xf numFmtId="0" fontId="8" fillId="9" borderId="43" xfId="10" applyFont="1" applyAlignment="1" applyProtection="1">
      <alignment vertical="top" wrapText="1"/>
    </xf>
    <xf numFmtId="166" fontId="8" fillId="9" borderId="43" xfId="10" applyNumberFormat="1" applyFont="1" applyAlignment="1" applyProtection="1">
      <alignment vertical="top" wrapText="1"/>
      <protection locked="0"/>
    </xf>
    <xf numFmtId="164" fontId="20" fillId="8" borderId="43" xfId="8" applyNumberFormat="1" applyAlignment="1" applyProtection="1">
      <alignment vertical="top"/>
      <protection locked="0"/>
    </xf>
    <xf numFmtId="0" fontId="20" fillId="8" borderId="43" xfId="8" applyNumberFormat="1" applyAlignment="1" applyProtection="1">
      <alignment vertical="top"/>
      <protection locked="0"/>
    </xf>
    <xf numFmtId="1" fontId="20" fillId="8" borderId="43" xfId="8" applyNumberFormat="1" applyAlignment="1" applyProtection="1">
      <alignment vertical="top"/>
      <protection locked="0"/>
    </xf>
    <xf numFmtId="9" fontId="20" fillId="8" borderId="43" xfId="8" applyNumberFormat="1" applyAlignment="1" applyProtection="1">
      <alignment vertical="top"/>
      <protection locked="0"/>
    </xf>
    <xf numFmtId="165" fontId="20" fillId="8" borderId="43" xfId="8" applyNumberFormat="1" applyAlignment="1" applyProtection="1">
      <alignment vertical="top"/>
      <protection locked="0"/>
    </xf>
    <xf numFmtId="44" fontId="20" fillId="8" borderId="43" xfId="8" applyNumberFormat="1" applyAlignment="1" applyProtection="1">
      <alignment vertical="top"/>
      <protection locked="0"/>
    </xf>
    <xf numFmtId="0" fontId="20" fillId="8" borderId="43" xfId="8" applyNumberFormat="1" applyAlignment="1" applyProtection="1">
      <alignment horizontal="left" vertical="top" wrapText="1"/>
    </xf>
    <xf numFmtId="41" fontId="19" fillId="10" borderId="42" xfId="9" applyNumberFormat="1" applyAlignment="1" applyProtection="1">
      <alignment vertical="center"/>
    </xf>
    <xf numFmtId="0" fontId="35" fillId="0" borderId="11" xfId="0" applyFont="1" applyFill="1" applyBorder="1" applyAlignment="1" applyProtection="1">
      <alignment vertical="center"/>
    </xf>
    <xf numFmtId="0" fontId="16" fillId="0" borderId="11" xfId="0" applyFont="1" applyFill="1" applyBorder="1" applyAlignment="1" applyProtection="1">
      <alignment vertical="center"/>
    </xf>
    <xf numFmtId="0" fontId="16" fillId="0" borderId="17" xfId="0" applyFont="1" applyFill="1" applyBorder="1" applyAlignment="1" applyProtection="1">
      <alignment vertical="center"/>
    </xf>
    <xf numFmtId="0" fontId="35" fillId="0" borderId="17" xfId="0" applyFont="1" applyFill="1" applyBorder="1" applyAlignment="1" applyProtection="1">
      <alignment vertical="center"/>
    </xf>
    <xf numFmtId="41" fontId="19" fillId="10" borderId="42" xfId="9" applyNumberFormat="1" applyAlignment="1" applyProtection="1">
      <alignment horizontal="right"/>
    </xf>
    <xf numFmtId="41" fontId="20" fillId="8" borderId="43" xfId="8" applyNumberFormat="1" applyProtection="1">
      <protection locked="0"/>
    </xf>
    <xf numFmtId="41" fontId="20" fillId="8" borderId="43" xfId="8" applyNumberFormat="1" applyProtection="1"/>
    <xf numFmtId="0" fontId="36" fillId="9" borderId="43" xfId="10" applyFont="1" applyAlignment="1">
      <alignment horizontal="left" vertical="top" wrapText="1"/>
    </xf>
    <xf numFmtId="0" fontId="20" fillId="9" borderId="43" xfId="10" applyFont="1" applyAlignment="1">
      <alignment horizontal="left" vertical="top" wrapText="1"/>
    </xf>
    <xf numFmtId="0" fontId="20" fillId="8" borderId="43" xfId="8" applyNumberFormat="1" applyAlignment="1">
      <alignment horizontal="left" vertical="top"/>
    </xf>
    <xf numFmtId="0" fontId="20" fillId="8" borderId="43" xfId="8" applyAlignment="1">
      <alignment vertical="top"/>
    </xf>
    <xf numFmtId="2" fontId="20" fillId="8" borderId="43" xfId="8" applyNumberFormat="1" applyAlignment="1">
      <alignment vertical="top"/>
    </xf>
    <xf numFmtId="164" fontId="20" fillId="8" borderId="43" xfId="8" applyNumberFormat="1" applyAlignment="1">
      <alignment vertical="top"/>
    </xf>
    <xf numFmtId="9" fontId="20" fillId="8" borderId="43" xfId="8" applyNumberFormat="1" applyAlignment="1">
      <alignment vertical="top"/>
    </xf>
    <xf numFmtId="0" fontId="20" fillId="8" borderId="43" xfId="8" applyAlignment="1">
      <alignment vertical="top" wrapText="1"/>
    </xf>
    <xf numFmtId="2" fontId="20" fillId="8" borderId="43" xfId="8" applyNumberFormat="1" applyAlignment="1">
      <alignment horizontal="right" vertical="top"/>
    </xf>
    <xf numFmtId="164" fontId="19" fillId="10" borderId="42" xfId="9" applyNumberFormat="1" applyAlignment="1">
      <alignment vertical="top"/>
    </xf>
    <xf numFmtId="0" fontId="20" fillId="8" borderId="43" xfId="8" applyAlignment="1" applyProtection="1">
      <alignment vertical="top" wrapText="1"/>
      <protection locked="0"/>
    </xf>
    <xf numFmtId="166" fontId="20" fillId="8" borderId="43" xfId="8" applyNumberFormat="1" applyAlignment="1" applyProtection="1">
      <alignment vertical="top" wrapText="1"/>
    </xf>
    <xf numFmtId="165" fontId="19" fillId="10" borderId="42" xfId="9" applyNumberFormat="1" applyAlignment="1" applyProtection="1">
      <alignment horizontal="right"/>
    </xf>
    <xf numFmtId="6" fontId="19" fillId="10" borderId="42" xfId="9" applyNumberFormat="1" applyAlignment="1" applyProtection="1">
      <alignment horizontal="right"/>
    </xf>
    <xf numFmtId="0" fontId="20" fillId="8" borderId="43" xfId="8" quotePrefix="1" applyAlignment="1" applyProtection="1">
      <alignment vertical="top" wrapText="1"/>
      <protection locked="0"/>
    </xf>
    <xf numFmtId="0" fontId="8" fillId="9" borderId="43" xfId="10" applyFont="1" applyAlignment="1" applyProtection="1">
      <alignment vertical="top" wrapText="1"/>
      <protection locked="0"/>
    </xf>
    <xf numFmtId="164" fontId="19" fillId="10" borderId="42" xfId="9" applyNumberFormat="1" applyAlignment="1" applyProtection="1">
      <alignment vertical="top"/>
    </xf>
    <xf numFmtId="2" fontId="20" fillId="8" borderId="43" xfId="8" applyNumberFormat="1" applyAlignment="1" applyProtection="1">
      <alignment vertical="top"/>
      <protection locked="0"/>
    </xf>
    <xf numFmtId="0" fontId="20" fillId="8" borderId="43" xfId="8" applyAlignment="1" applyProtection="1">
      <alignment vertical="top"/>
      <protection locked="0"/>
    </xf>
    <xf numFmtId="9" fontId="20" fillId="8" borderId="43" xfId="8" applyNumberFormat="1" applyAlignment="1" applyProtection="1">
      <alignment horizontal="right" vertical="top"/>
      <protection locked="0"/>
    </xf>
    <xf numFmtId="9" fontId="20" fillId="8" borderId="43" xfId="8" quotePrefix="1" applyNumberFormat="1" applyAlignment="1" applyProtection="1">
      <alignment horizontal="right" vertical="top"/>
      <protection locked="0"/>
    </xf>
    <xf numFmtId="164" fontId="19" fillId="10" borderId="42" xfId="9" applyNumberFormat="1" applyAlignment="1" applyProtection="1">
      <alignment horizontal="right" vertical="top" wrapText="1"/>
    </xf>
    <xf numFmtId="0" fontId="36" fillId="9" borderId="43" xfId="10" applyFont="1" applyAlignment="1">
      <alignment vertical="top" wrapText="1"/>
    </xf>
    <xf numFmtId="0" fontId="35" fillId="0" borderId="2" xfId="0" applyFont="1" applyFill="1" applyBorder="1" applyAlignment="1">
      <alignment vertical="center"/>
    </xf>
    <xf numFmtId="0" fontId="19" fillId="10" borderId="42" xfId="9" applyAlignment="1">
      <alignment vertical="center" wrapText="1"/>
    </xf>
    <xf numFmtId="164" fontId="19" fillId="10" borderId="42" xfId="9" applyNumberFormat="1" applyAlignment="1">
      <alignment vertical="center"/>
    </xf>
    <xf numFmtId="0" fontId="19" fillId="10" borderId="42" xfId="9"/>
    <xf numFmtId="0" fontId="19" fillId="10" borderId="42" xfId="9" applyAlignment="1">
      <alignment vertical="center"/>
    </xf>
    <xf numFmtId="0" fontId="35" fillId="4" borderId="0" xfId="0" applyFont="1" applyFill="1"/>
    <xf numFmtId="0" fontId="35" fillId="4" borderId="2" xfId="0" applyFont="1" applyFill="1" applyBorder="1" applyAlignment="1">
      <alignment vertical="center"/>
    </xf>
    <xf numFmtId="0" fontId="20" fillId="8" borderId="43" xfId="8" applyAlignment="1" applyProtection="1">
      <alignment horizontal="left" wrapText="1"/>
      <protection locked="0"/>
    </xf>
    <xf numFmtId="0" fontId="20" fillId="8" borderId="43" xfId="8" quotePrefix="1" applyAlignment="1" applyProtection="1">
      <alignment horizontal="left" wrapText="1"/>
      <protection locked="0"/>
    </xf>
    <xf numFmtId="0" fontId="8" fillId="9" borderId="43" xfId="10" applyFont="1" applyAlignment="1" applyProtection="1">
      <alignment wrapText="1"/>
      <protection locked="0"/>
    </xf>
    <xf numFmtId="0" fontId="20" fillId="8" borderId="43" xfId="8" applyAlignment="1">
      <alignment wrapText="1"/>
    </xf>
    <xf numFmtId="43" fontId="20" fillId="8" borderId="43" xfId="8" applyNumberFormat="1" applyAlignment="1">
      <alignment horizontal="center"/>
    </xf>
    <xf numFmtId="164" fontId="20" fillId="8" borderId="43" xfId="8" applyNumberFormat="1"/>
    <xf numFmtId="9" fontId="20" fillId="8" borderId="43" xfId="8" applyNumberFormat="1"/>
    <xf numFmtId="164" fontId="19" fillId="10" borderId="42" xfId="9" applyNumberFormat="1"/>
    <xf numFmtId="9" fontId="20" fillId="8" borderId="43" xfId="8" applyNumberFormat="1" applyAlignment="1">
      <alignment horizontal="right"/>
    </xf>
    <xf numFmtId="0" fontId="20" fillId="9" borderId="43" xfId="10" applyFont="1" applyAlignment="1">
      <alignment wrapText="1"/>
    </xf>
    <xf numFmtId="164" fontId="19" fillId="10" borderId="42" xfId="9" applyNumberFormat="1" applyAlignment="1">
      <alignment horizontal="right" wrapText="1"/>
    </xf>
    <xf numFmtId="164" fontId="19" fillId="10" borderId="42" xfId="9" applyNumberFormat="1" applyAlignment="1">
      <alignment horizontal="right"/>
    </xf>
    <xf numFmtId="0" fontId="20" fillId="8" borderId="43" xfId="8" applyAlignment="1">
      <alignment horizontal="left" wrapText="1"/>
    </xf>
    <xf numFmtId="10" fontId="20" fillId="8" borderId="43" xfId="8" applyNumberFormat="1"/>
    <xf numFmtId="164" fontId="20" fillId="8" borderId="43" xfId="8" applyNumberFormat="1" applyAlignment="1">
      <alignment horizontal="left" wrapText="1"/>
    </xf>
    <xf numFmtId="0" fontId="20" fillId="8" borderId="43" xfId="8" applyNumberFormat="1"/>
    <xf numFmtId="166" fontId="20" fillId="8" borderId="43" xfId="8" applyNumberFormat="1" applyAlignment="1">
      <alignment horizontal="left" wrapText="1"/>
    </xf>
    <xf numFmtId="0" fontId="8" fillId="9" borderId="43" xfId="10" applyNumberFormat="1" applyFont="1" applyAlignment="1">
      <alignment vertical="top" wrapText="1"/>
    </xf>
    <xf numFmtId="0" fontId="8" fillId="9" borderId="43" xfId="10" applyFont="1" applyAlignment="1">
      <alignment vertical="top" wrapText="1"/>
    </xf>
    <xf numFmtId="0" fontId="26" fillId="0" borderId="0" xfId="5"/>
    <xf numFmtId="0" fontId="27" fillId="0" borderId="0" xfId="4"/>
    <xf numFmtId="0" fontId="26" fillId="0" borderId="0" xfId="5" applyFill="1" applyAlignment="1" applyProtection="1"/>
    <xf numFmtId="0" fontId="27" fillId="0" borderId="0" xfId="4" applyFill="1" applyAlignment="1" applyProtection="1"/>
    <xf numFmtId="0" fontId="26" fillId="0" borderId="0" xfId="5" applyFill="1" applyAlignment="1" applyProtection="1">
      <alignment horizontal="left"/>
    </xf>
    <xf numFmtId="0" fontId="27" fillId="0" borderId="0" xfId="4" applyFill="1" applyAlignment="1" applyProtection="1">
      <alignment vertical="center"/>
    </xf>
    <xf numFmtId="0" fontId="26" fillId="0" borderId="0" xfId="5" applyFill="1" applyAlignment="1" applyProtection="1">
      <alignment vertical="center" wrapText="1"/>
    </xf>
    <xf numFmtId="0" fontId="27" fillId="0" borderId="0" xfId="4" applyAlignment="1"/>
    <xf numFmtId="0" fontId="26" fillId="0" borderId="0" xfId="5" applyAlignment="1"/>
    <xf numFmtId="0" fontId="9" fillId="6" borderId="0" xfId="6" applyFill="1" applyAlignment="1" applyProtection="1">
      <alignment horizontal="left"/>
    </xf>
    <xf numFmtId="0" fontId="9" fillId="6" borderId="0" xfId="6" applyAlignment="1" applyProtection="1">
      <alignment horizontal="left"/>
    </xf>
    <xf numFmtId="9" fontId="9" fillId="6" borderId="0" xfId="6" applyNumberFormat="1" applyAlignment="1" applyProtection="1"/>
    <xf numFmtId="9" fontId="9" fillId="6" borderId="0" xfId="6" applyNumberFormat="1" applyAlignment="1" applyProtection="1">
      <alignment horizontal="left"/>
    </xf>
    <xf numFmtId="164" fontId="19" fillId="10" borderId="42" xfId="9" applyNumberFormat="1" applyAlignment="1">
      <alignment horizontal="center" vertical="center"/>
    </xf>
    <xf numFmtId="0" fontId="26" fillId="0" borderId="0" xfId="5" applyFill="1" applyAlignment="1">
      <alignment horizontal="left" vertical="top"/>
    </xf>
    <xf numFmtId="0" fontId="27" fillId="0" borderId="0" xfId="4" applyFill="1" applyAlignment="1">
      <alignment horizontal="left" vertical="top"/>
    </xf>
    <xf numFmtId="0" fontId="9" fillId="6" borderId="0" xfId="6" applyAlignment="1" applyProtection="1">
      <alignment horizontal="left" vertical="top"/>
    </xf>
    <xf numFmtId="6" fontId="19" fillId="10" borderId="42" xfId="9" applyNumberFormat="1" applyAlignment="1" applyProtection="1">
      <alignment horizontal="center"/>
    </xf>
    <xf numFmtId="0" fontId="26" fillId="0" borderId="0" xfId="5" applyFill="1" applyAlignment="1" applyProtection="1">
      <alignment horizontal="left" vertical="top"/>
    </xf>
    <xf numFmtId="0" fontId="27" fillId="0" borderId="0" xfId="4" applyFill="1" applyAlignment="1" applyProtection="1">
      <alignment horizontal="left" vertical="top"/>
    </xf>
    <xf numFmtId="0" fontId="26" fillId="0" borderId="0" xfId="5" applyFill="1" applyAlignment="1" applyProtection="1">
      <alignment horizontal="left" vertical="top" wrapText="1"/>
    </xf>
    <xf numFmtId="0" fontId="27" fillId="0" borderId="0" xfId="4" applyAlignment="1">
      <alignment horizontal="left" wrapText="1"/>
    </xf>
    <xf numFmtId="0" fontId="26" fillId="0" borderId="0" xfId="5" applyAlignment="1">
      <alignment horizontal="left"/>
    </xf>
    <xf numFmtId="0" fontId="26" fillId="0" borderId="0" xfId="5" applyAlignment="1">
      <alignment horizontal="left" vertical="center"/>
    </xf>
    <xf numFmtId="0" fontId="27" fillId="0" borderId="0" xfId="4" applyAlignment="1">
      <alignment horizontal="left" vertical="center"/>
    </xf>
    <xf numFmtId="0" fontId="19" fillId="0" borderId="6" xfId="7" applyFill="1" applyBorder="1" applyAlignment="1" applyProtection="1"/>
    <xf numFmtId="0" fontId="19" fillId="0" borderId="0" xfId="7" applyFill="1" applyBorder="1" applyAlignment="1" applyProtection="1">
      <alignment horizontal="left" vertical="center"/>
    </xf>
    <xf numFmtId="9" fontId="19" fillId="0" borderId="0" xfId="7" applyNumberFormat="1" applyFill="1" applyBorder="1" applyAlignment="1" applyProtection="1">
      <alignment horizontal="left"/>
    </xf>
    <xf numFmtId="0" fontId="19" fillId="0" borderId="0" xfId="7" applyFill="1" applyBorder="1" applyAlignment="1" applyProtection="1">
      <alignment vertical="center"/>
    </xf>
    <xf numFmtId="0" fontId="19" fillId="0" borderId="0" xfId="7" applyFill="1" applyBorder="1" applyAlignment="1" applyProtection="1">
      <alignment horizontal="left" vertical="top"/>
    </xf>
    <xf numFmtId="0" fontId="19" fillId="0" borderId="0" xfId="7" applyFill="1" applyBorder="1" applyAlignment="1" applyProtection="1">
      <alignment vertical="top"/>
      <protection locked="0"/>
    </xf>
    <xf numFmtId="9" fontId="19" fillId="0" borderId="0" xfId="7" applyNumberFormat="1" applyFill="1" applyBorder="1" applyAlignment="1" applyProtection="1">
      <alignment vertical="top"/>
    </xf>
    <xf numFmtId="0" fontId="19" fillId="0" borderId="0" xfId="7" applyFill="1" applyBorder="1" applyAlignment="1" applyProtection="1">
      <alignment vertical="top"/>
    </xf>
    <xf numFmtId="0" fontId="27" fillId="0" borderId="0" xfId="4" applyFill="1" applyAlignment="1" applyProtection="1">
      <alignment horizontal="left" vertical="top" wrapText="1"/>
    </xf>
    <xf numFmtId="0" fontId="19" fillId="0" borderId="0" xfId="7" applyFill="1" applyBorder="1" applyAlignment="1" applyProtection="1">
      <alignment horizontal="left" vertical="top" wrapText="1"/>
    </xf>
    <xf numFmtId="0" fontId="19" fillId="0" borderId="0" xfId="7" applyFill="1" applyBorder="1" applyAlignment="1" applyProtection="1"/>
    <xf numFmtId="0" fontId="19" fillId="0" borderId="0" xfId="7" applyAlignment="1"/>
    <xf numFmtId="0" fontId="27" fillId="0" borderId="0" xfId="4" applyFill="1" applyAlignment="1" applyProtection="1">
      <alignment horizontal="left" wrapText="1"/>
    </xf>
    <xf numFmtId="0" fontId="27" fillId="0" borderId="0" xfId="4" applyFill="1" applyAlignment="1" applyProtection="1">
      <alignment horizontal="left"/>
    </xf>
    <xf numFmtId="0" fontId="19" fillId="0" borderId="0" xfId="7" applyFill="1" applyBorder="1" applyAlignment="1">
      <alignment horizontal="left" vertical="center"/>
    </xf>
    <xf numFmtId="0" fontId="19" fillId="0" borderId="0" xfId="7" applyFill="1" applyAlignment="1"/>
    <xf numFmtId="0" fontId="19" fillId="0" borderId="0" xfId="7" applyFill="1" applyBorder="1" applyAlignment="1"/>
    <xf numFmtId="0" fontId="19" fillId="0" borderId="0" xfId="7" applyFill="1" applyAlignment="1" applyProtection="1">
      <alignment horizontal="left" wrapText="1"/>
    </xf>
    <xf numFmtId="0" fontId="19" fillId="0" borderId="0" xfId="7" applyBorder="1" applyAlignment="1"/>
    <xf numFmtId="0" fontId="20" fillId="4" borderId="20" xfId="0" applyFont="1" applyFill="1" applyBorder="1" applyAlignment="1">
      <alignment wrapText="1"/>
    </xf>
    <xf numFmtId="0" fontId="30" fillId="6" borderId="24" xfId="0" applyFont="1" applyFill="1" applyBorder="1" applyAlignment="1">
      <alignment horizontal="center" vertical="top"/>
    </xf>
    <xf numFmtId="0" fontId="30" fillId="6" borderId="19" xfId="0" applyFont="1" applyFill="1" applyBorder="1" applyAlignment="1">
      <alignment horizontal="center" vertical="top"/>
    </xf>
    <xf numFmtId="0" fontId="19" fillId="0" borderId="0" xfId="7"/>
    <xf numFmtId="0" fontId="19" fillId="0" borderId="0" xfId="7" applyFill="1" applyBorder="1"/>
    <xf numFmtId="0" fontId="19" fillId="0" borderId="0" xfId="7" applyFill="1" applyBorder="1" applyProtection="1"/>
    <xf numFmtId="166" fontId="20" fillId="8" borderId="43" xfId="8" applyNumberFormat="1" applyFont="1" applyAlignment="1" applyProtection="1">
      <alignment vertical="top" wrapText="1"/>
    </xf>
    <xf numFmtId="0" fontId="20" fillId="8" borderId="43" xfId="8" applyNumberFormat="1" applyFont="1" applyAlignment="1" applyProtection="1">
      <alignment vertical="top" wrapText="1"/>
      <protection locked="0"/>
    </xf>
    <xf numFmtId="164" fontId="20" fillId="8" borderId="43" xfId="8" applyNumberFormat="1" applyFont="1" applyAlignment="1" applyProtection="1">
      <alignment vertical="top" wrapText="1"/>
      <protection locked="0"/>
    </xf>
    <xf numFmtId="0" fontId="20" fillId="8" borderId="43" xfId="8" applyFont="1" applyAlignment="1" applyProtection="1">
      <alignment vertical="top" wrapText="1"/>
    </xf>
    <xf numFmtId="0" fontId="20" fillId="8" borderId="43" xfId="8" applyNumberFormat="1" applyFont="1" applyAlignment="1" applyProtection="1">
      <alignment vertical="top" wrapText="1"/>
    </xf>
    <xf numFmtId="0" fontId="20" fillId="8" borderId="43" xfId="8" applyFont="1" applyAlignment="1" applyProtection="1">
      <alignment vertical="top" wrapText="1"/>
      <protection locked="0"/>
    </xf>
    <xf numFmtId="1" fontId="20" fillId="8" borderId="43" xfId="8" applyNumberFormat="1" applyFont="1" applyAlignment="1" applyProtection="1">
      <alignment vertical="top" wrapText="1"/>
      <protection locked="0"/>
    </xf>
    <xf numFmtId="44" fontId="20" fillId="8" borderId="43" xfId="8" applyNumberFormat="1" applyFont="1" applyAlignment="1" applyProtection="1">
      <alignment vertical="top" wrapText="1"/>
      <protection locked="0"/>
    </xf>
    <xf numFmtId="0" fontId="16" fillId="0" borderId="0" xfId="0" applyFont="1" applyFill="1" applyBorder="1" applyAlignment="1" applyProtection="1">
      <alignment horizontal="left" vertical="top" wrapText="1"/>
    </xf>
    <xf numFmtId="164" fontId="8" fillId="0" borderId="0" xfId="0" applyNumberFormat="1" applyFont="1" applyFill="1" applyProtection="1"/>
    <xf numFmtId="44" fontId="8" fillId="0" borderId="0" xfId="0" applyNumberFormat="1" applyFont="1" applyFill="1" applyProtection="1"/>
    <xf numFmtId="8" fontId="8" fillId="0" borderId="0" xfId="0" applyNumberFormat="1" applyFont="1" applyFill="1" applyProtection="1"/>
    <xf numFmtId="164" fontId="19" fillId="10" borderId="42" xfId="9" applyNumberFormat="1" applyAlignment="1" applyProtection="1">
      <alignment horizontal="center" vertical="center"/>
    </xf>
    <xf numFmtId="0" fontId="19" fillId="2" borderId="6" xfId="0" applyFont="1" applyFill="1" applyBorder="1" applyAlignment="1" applyProtection="1"/>
    <xf numFmtId="0" fontId="19" fillId="2" borderId="0" xfId="0" applyFont="1" applyFill="1" applyBorder="1" applyAlignment="1" applyProtection="1"/>
    <xf numFmtId="0" fontId="19" fillId="2" borderId="7" xfId="0" applyFont="1" applyFill="1" applyBorder="1" applyAlignment="1" applyProtection="1"/>
    <xf numFmtId="0" fontId="30" fillId="2" borderId="8" xfId="0" applyFont="1" applyFill="1" applyBorder="1" applyAlignment="1" applyProtection="1"/>
    <xf numFmtId="0" fontId="30" fillId="2" borderId="9" xfId="0" applyFont="1" applyFill="1" applyBorder="1" applyAlignment="1" applyProtection="1"/>
    <xf numFmtId="0" fontId="19" fillId="2" borderId="9" xfId="0" applyFont="1" applyFill="1" applyBorder="1" applyAlignment="1" applyProtection="1"/>
    <xf numFmtId="0" fontId="19" fillId="2" borderId="10" xfId="0" applyFont="1" applyFill="1" applyBorder="1" applyAlignment="1" applyProtection="1"/>
    <xf numFmtId="0" fontId="29" fillId="2" borderId="0" xfId="0" applyFont="1" applyFill="1" applyBorder="1" applyProtection="1"/>
    <xf numFmtId="0" fontId="29" fillId="2" borderId="4" xfId="0" applyFont="1" applyFill="1" applyBorder="1" applyProtection="1"/>
    <xf numFmtId="164" fontId="29" fillId="5" borderId="0" xfId="3" applyNumberFormat="1" applyFont="1" applyFill="1" applyBorder="1" applyProtection="1"/>
    <xf numFmtId="0" fontId="29" fillId="2" borderId="6" xfId="0" applyFont="1" applyFill="1" applyBorder="1" applyProtection="1"/>
    <xf numFmtId="0" fontId="29" fillId="2" borderId="7" xfId="0" applyFont="1" applyFill="1" applyBorder="1" applyProtection="1"/>
    <xf numFmtId="0" fontId="29" fillId="2" borderId="3" xfId="0" applyFont="1" applyFill="1" applyBorder="1" applyProtection="1"/>
    <xf numFmtId="0" fontId="29" fillId="2" borderId="5" xfId="0" applyFont="1" applyFill="1" applyBorder="1" applyProtection="1"/>
    <xf numFmtId="0" fontId="19" fillId="2" borderId="8" xfId="0" applyFont="1" applyFill="1" applyBorder="1" applyAlignment="1" applyProtection="1"/>
    <xf numFmtId="0" fontId="20" fillId="2" borderId="6" xfId="0" applyFont="1" applyFill="1" applyBorder="1" applyProtection="1"/>
    <xf numFmtId="0" fontId="20" fillId="2" borderId="0" xfId="0" applyFont="1" applyFill="1" applyBorder="1" applyProtection="1"/>
    <xf numFmtId="164" fontId="20" fillId="2" borderId="0" xfId="0" applyNumberFormat="1" applyFont="1" applyFill="1" applyBorder="1" applyProtection="1"/>
    <xf numFmtId="164" fontId="20" fillId="2" borderId="7" xfId="0" applyNumberFormat="1" applyFont="1" applyFill="1" applyBorder="1" applyProtection="1"/>
    <xf numFmtId="9" fontId="20" fillId="2" borderId="0" xfId="2" applyFont="1" applyFill="1" applyBorder="1" applyProtection="1"/>
    <xf numFmtId="9" fontId="20" fillId="2" borderId="7" xfId="2" applyFont="1" applyFill="1" applyBorder="1" applyProtection="1"/>
    <xf numFmtId="0" fontId="19" fillId="2" borderId="9" xfId="0" applyFont="1" applyFill="1" applyBorder="1" applyProtection="1"/>
    <xf numFmtId="0" fontId="19" fillId="2" borderId="10" xfId="0" applyFont="1" applyFill="1" applyBorder="1" applyProtection="1"/>
    <xf numFmtId="0" fontId="37" fillId="2" borderId="6" xfId="0" applyFont="1" applyFill="1" applyBorder="1" applyAlignment="1" applyProtection="1">
      <alignment vertical="center"/>
    </xf>
    <xf numFmtId="0" fontId="16" fillId="2" borderId="0" xfId="0" applyFont="1" applyFill="1" applyBorder="1" applyAlignment="1" applyProtection="1">
      <alignment vertical="center"/>
    </xf>
    <xf numFmtId="0" fontId="16" fillId="2" borderId="7" xfId="0" applyFont="1" applyFill="1" applyBorder="1" applyAlignment="1" applyProtection="1">
      <alignment vertical="center"/>
    </xf>
    <xf numFmtId="0" fontId="8" fillId="0" borderId="0" xfId="0" applyFont="1" applyFill="1" applyBorder="1" applyAlignment="1" applyProtection="1">
      <alignment vertical="center" wrapText="1"/>
    </xf>
    <xf numFmtId="0" fontId="19" fillId="8" borderId="43" xfId="8" applyFont="1"/>
    <xf numFmtId="0" fontId="19" fillId="10" borderId="42" xfId="9" applyNumberFormat="1"/>
    <xf numFmtId="0" fontId="16" fillId="9" borderId="43" xfId="10" applyNumberFormat="1" applyFont="1"/>
    <xf numFmtId="0" fontId="2" fillId="0" borderId="2" xfId="0" applyFont="1" applyBorder="1" applyAlignment="1">
      <alignment horizontal="left" vertical="top" wrapText="1"/>
    </xf>
    <xf numFmtId="0" fontId="0" fillId="0" borderId="0" xfId="0" applyAlignment="1">
      <alignment horizontal="left" vertical="top" wrapText="1"/>
    </xf>
    <xf numFmtId="0" fontId="0" fillId="0" borderId="0" xfId="0" applyAlignment="1">
      <alignment horizontal="left" vertical="top" wrapText="1" indent="2"/>
    </xf>
    <xf numFmtId="0" fontId="0" fillId="0" borderId="0" xfId="0" applyBorder="1" applyAlignment="1">
      <alignment horizontal="left" vertical="top" wrapText="1" indent="2"/>
    </xf>
    <xf numFmtId="0" fontId="8" fillId="0" borderId="29" xfId="0" applyFont="1" applyBorder="1" applyAlignment="1">
      <alignment horizontal="left" vertical="top" wrapText="1"/>
    </xf>
    <xf numFmtId="0" fontId="8" fillId="0" borderId="31" xfId="0" applyFont="1" applyBorder="1" applyAlignment="1">
      <alignment horizontal="left" vertical="top"/>
    </xf>
    <xf numFmtId="0" fontId="8" fillId="0" borderId="29" xfId="0" applyFont="1" applyBorder="1" applyAlignment="1">
      <alignment horizontal="left" wrapText="1"/>
    </xf>
    <xf numFmtId="0" fontId="8" fillId="0" borderId="31" xfId="0" applyFont="1" applyBorder="1" applyAlignment="1">
      <alignment horizontal="left"/>
    </xf>
    <xf numFmtId="0" fontId="20" fillId="0" borderId="26" xfId="0" applyFont="1" applyFill="1" applyBorder="1" applyAlignment="1" applyProtection="1">
      <alignment horizontal="left" vertical="top" wrapText="1"/>
    </xf>
    <xf numFmtId="0" fontId="20" fillId="0" borderId="27" xfId="0" applyFont="1" applyFill="1" applyBorder="1" applyAlignment="1" applyProtection="1">
      <alignment horizontal="left" vertical="top" wrapText="1"/>
    </xf>
    <xf numFmtId="0" fontId="20" fillId="0" borderId="28" xfId="0" applyFont="1" applyFill="1" applyBorder="1" applyAlignment="1" applyProtection="1">
      <alignment horizontal="left" vertical="top" wrapText="1"/>
    </xf>
    <xf numFmtId="0" fontId="8" fillId="0" borderId="26" xfId="0" applyFont="1" applyFill="1" applyBorder="1" applyAlignment="1" applyProtection="1">
      <alignment horizontal="left" vertical="center" wrapText="1"/>
    </xf>
    <xf numFmtId="0" fontId="8" fillId="0" borderId="27" xfId="0" applyFont="1" applyFill="1" applyBorder="1" applyAlignment="1" applyProtection="1">
      <alignment horizontal="left" vertical="center" wrapText="1"/>
    </xf>
    <xf numFmtId="0" fontId="8" fillId="0" borderId="28" xfId="0" applyFont="1" applyFill="1" applyBorder="1" applyAlignment="1" applyProtection="1">
      <alignment horizontal="left" vertical="center" wrapText="1"/>
    </xf>
    <xf numFmtId="0" fontId="20" fillId="4" borderId="1" xfId="0" applyFont="1" applyFill="1" applyBorder="1" applyAlignment="1" applyProtection="1">
      <alignment horizontal="left" wrapText="1"/>
    </xf>
    <xf numFmtId="0" fontId="8" fillId="0" borderId="26" xfId="0" applyFont="1" applyFill="1" applyBorder="1" applyAlignment="1" applyProtection="1">
      <alignment horizontal="left" vertical="top" wrapText="1"/>
    </xf>
    <xf numFmtId="0" fontId="8" fillId="0" borderId="27" xfId="0" applyFont="1" applyFill="1" applyBorder="1" applyAlignment="1" applyProtection="1">
      <alignment horizontal="left" vertical="top" wrapText="1"/>
    </xf>
    <xf numFmtId="0" fontId="8" fillId="0" borderId="28" xfId="0" applyFont="1" applyFill="1" applyBorder="1" applyAlignment="1" applyProtection="1">
      <alignment horizontal="left" vertical="top" wrapText="1"/>
    </xf>
    <xf numFmtId="0" fontId="20" fillId="4" borderId="19" xfId="0" applyFont="1" applyFill="1" applyBorder="1" applyAlignment="1" applyProtection="1">
      <alignment horizontal="left" wrapText="1"/>
    </xf>
    <xf numFmtId="0" fontId="20" fillId="4" borderId="18" xfId="0" applyFont="1" applyFill="1" applyBorder="1" applyAlignment="1" applyProtection="1">
      <alignment horizontal="left" wrapText="1"/>
    </xf>
    <xf numFmtId="0" fontId="20" fillId="4" borderId="11" xfId="0" applyFont="1" applyFill="1" applyBorder="1" applyAlignment="1" applyProtection="1">
      <alignment horizontal="left" wrapText="1"/>
    </xf>
    <xf numFmtId="0" fontId="8" fillId="0" borderId="19" xfId="0" applyFont="1" applyBorder="1" applyAlignment="1">
      <alignment wrapText="1"/>
    </xf>
    <xf numFmtId="0" fontId="8" fillId="0" borderId="18" xfId="0" applyFont="1" applyBorder="1" applyAlignment="1">
      <alignment wrapText="1"/>
    </xf>
    <xf numFmtId="0" fontId="8" fillId="0" borderId="11" xfId="0" applyFont="1" applyBorder="1" applyAlignment="1">
      <alignment wrapText="1"/>
    </xf>
    <xf numFmtId="0" fontId="8" fillId="0" borderId="29" xfId="0" applyFont="1" applyFill="1" applyBorder="1" applyAlignment="1" applyProtection="1">
      <alignment horizontal="left" vertical="top" wrapText="1"/>
    </xf>
    <xf numFmtId="0" fontId="8" fillId="0" borderId="30" xfId="0" applyFont="1" applyFill="1" applyBorder="1" applyAlignment="1" applyProtection="1">
      <alignment horizontal="left" vertical="top" wrapText="1"/>
    </xf>
    <xf numFmtId="0" fontId="8" fillId="0" borderId="31" xfId="0" applyFont="1" applyFill="1" applyBorder="1" applyAlignment="1" applyProtection="1">
      <alignment horizontal="left" vertical="top" wrapText="1"/>
    </xf>
    <xf numFmtId="9" fontId="16" fillId="0" borderId="19" xfId="2" applyFont="1" applyFill="1" applyBorder="1" applyAlignment="1" applyProtection="1">
      <alignment horizontal="left" vertical="top" wrapText="1"/>
    </xf>
    <xf numFmtId="9" fontId="16" fillId="0" borderId="18" xfId="2" applyFont="1" applyFill="1" applyBorder="1" applyAlignment="1" applyProtection="1">
      <alignment horizontal="left" vertical="top"/>
    </xf>
    <xf numFmtId="9" fontId="16" fillId="0" borderId="11" xfId="2" applyFont="1" applyFill="1" applyBorder="1" applyAlignment="1" applyProtection="1">
      <alignment horizontal="left" vertical="top"/>
    </xf>
    <xf numFmtId="0" fontId="20" fillId="8" borderId="43" xfId="8" applyAlignment="1" applyProtection="1">
      <alignment horizontal="left" vertical="center" wrapText="1"/>
      <protection locked="0"/>
    </xf>
    <xf numFmtId="0" fontId="30" fillId="6" borderId="23" xfId="0" applyFont="1" applyFill="1" applyBorder="1" applyAlignment="1" applyProtection="1">
      <alignment horizontal="left" vertical="center"/>
    </xf>
    <xf numFmtId="0" fontId="30" fillId="6" borderId="0" xfId="0" applyFont="1" applyFill="1" applyBorder="1" applyAlignment="1" applyProtection="1">
      <alignment horizontal="left" vertical="center"/>
    </xf>
    <xf numFmtId="0" fontId="8" fillId="0" borderId="26" xfId="0" applyFont="1" applyFill="1" applyBorder="1" applyAlignment="1" applyProtection="1">
      <alignment horizontal="left" wrapText="1"/>
    </xf>
    <xf numFmtId="0" fontId="8" fillId="0" borderId="27" xfId="0" applyFont="1" applyFill="1" applyBorder="1" applyAlignment="1" applyProtection="1">
      <alignment horizontal="left" wrapText="1"/>
    </xf>
    <xf numFmtId="0" fontId="8" fillId="0" borderId="28" xfId="0" applyFont="1" applyFill="1" applyBorder="1" applyAlignment="1" applyProtection="1">
      <alignment horizontal="left" wrapText="1"/>
    </xf>
    <xf numFmtId="0" fontId="8" fillId="0" borderId="19" xfId="0" applyFont="1" applyFill="1" applyBorder="1" applyAlignment="1" applyProtection="1">
      <alignment horizontal="left" wrapText="1"/>
    </xf>
    <xf numFmtId="0" fontId="8" fillId="0" borderId="18" xfId="0" applyFont="1" applyFill="1" applyBorder="1" applyAlignment="1" applyProtection="1">
      <alignment horizontal="left" wrapText="1"/>
    </xf>
    <xf numFmtId="0" fontId="8" fillId="0" borderId="11" xfId="0" applyFont="1" applyFill="1" applyBorder="1" applyAlignment="1" applyProtection="1">
      <alignment horizontal="left" wrapText="1"/>
    </xf>
    <xf numFmtId="0" fontId="20" fillId="0" borderId="26" xfId="0" applyFont="1" applyFill="1" applyBorder="1" applyAlignment="1">
      <alignment horizontal="left" vertical="top" wrapText="1"/>
    </xf>
    <xf numFmtId="0" fontId="20" fillId="0" borderId="27" xfId="0" applyFont="1" applyFill="1" applyBorder="1" applyAlignment="1">
      <alignment horizontal="left" vertical="top" wrapText="1"/>
    </xf>
    <xf numFmtId="0" fontId="20" fillId="0" borderId="28" xfId="0" applyFont="1" applyFill="1" applyBorder="1" applyAlignment="1">
      <alignment horizontal="left" vertical="top" wrapText="1"/>
    </xf>
    <xf numFmtId="0" fontId="20" fillId="0" borderId="19" xfId="0" applyFont="1" applyFill="1" applyBorder="1" applyAlignment="1" applyProtection="1">
      <alignment horizontal="left" vertical="top" wrapText="1"/>
    </xf>
    <xf numFmtId="0" fontId="20" fillId="0" borderId="18" xfId="0" applyFont="1" applyFill="1" applyBorder="1" applyAlignment="1" applyProtection="1">
      <alignment horizontal="left" vertical="top" wrapText="1"/>
    </xf>
    <xf numFmtId="0" fontId="20" fillId="0" borderId="11" xfId="0" applyFont="1" applyFill="1" applyBorder="1" applyAlignment="1" applyProtection="1">
      <alignment horizontal="left" vertical="top" wrapText="1"/>
    </xf>
    <xf numFmtId="0" fontId="20" fillId="0" borderId="29" xfId="0" applyFont="1" applyFill="1" applyBorder="1" applyAlignment="1">
      <alignment horizontal="left" vertical="top" wrapText="1"/>
    </xf>
    <xf numFmtId="0" fontId="20" fillId="0" borderId="30" xfId="0" applyFont="1" applyFill="1" applyBorder="1" applyAlignment="1">
      <alignment horizontal="left" vertical="top" wrapText="1"/>
    </xf>
    <xf numFmtId="0" fontId="20" fillId="0" borderId="31" xfId="0" applyFont="1" applyFill="1" applyBorder="1" applyAlignment="1">
      <alignment horizontal="left" vertical="top" wrapText="1"/>
    </xf>
    <xf numFmtId="0" fontId="9" fillId="6" borderId="0" xfId="0" applyFont="1" applyFill="1" applyBorder="1" applyAlignment="1" applyProtection="1">
      <alignment horizontal="left"/>
    </xf>
    <xf numFmtId="0" fontId="8" fillId="0" borderId="19" xfId="0" applyFont="1" applyFill="1" applyBorder="1" applyAlignment="1" applyProtection="1">
      <alignment horizontal="left" vertical="top" wrapText="1"/>
    </xf>
    <xf numFmtId="0" fontId="8" fillId="0" borderId="18" xfId="0" applyFont="1" applyFill="1" applyBorder="1" applyAlignment="1" applyProtection="1">
      <alignment horizontal="left" vertical="top" wrapText="1"/>
    </xf>
    <xf numFmtId="0" fontId="8" fillId="0" borderId="11" xfId="0" applyFont="1" applyFill="1" applyBorder="1" applyAlignment="1" applyProtection="1">
      <alignment horizontal="left" vertical="top" wrapText="1"/>
    </xf>
    <xf numFmtId="0" fontId="16" fillId="0" borderId="26" xfId="0" applyFont="1" applyFill="1" applyBorder="1" applyAlignment="1" applyProtection="1">
      <alignment horizontal="left" vertical="top" wrapText="1"/>
    </xf>
    <xf numFmtId="0" fontId="16" fillId="0" borderId="27" xfId="0" applyFont="1" applyFill="1" applyBorder="1" applyAlignment="1" applyProtection="1">
      <alignment horizontal="left" vertical="top" wrapText="1"/>
    </xf>
    <xf numFmtId="0" fontId="16" fillId="0" borderId="28" xfId="0" applyFont="1" applyFill="1" applyBorder="1" applyAlignment="1" applyProtection="1">
      <alignment horizontal="left" vertical="top" wrapText="1"/>
    </xf>
    <xf numFmtId="0" fontId="20" fillId="4" borderId="1" xfId="0" applyFont="1" applyFill="1" applyBorder="1" applyAlignment="1" applyProtection="1">
      <alignment horizontal="left" vertical="top" wrapText="1"/>
    </xf>
    <xf numFmtId="0" fontId="8" fillId="0" borderId="19" xfId="0" applyFont="1" applyBorder="1" applyAlignment="1">
      <alignment horizontal="left" vertical="top" wrapText="1"/>
    </xf>
    <xf numFmtId="0" fontId="8" fillId="0" borderId="18" xfId="0" applyFont="1" applyBorder="1" applyAlignment="1">
      <alignment horizontal="left" vertical="top" wrapText="1"/>
    </xf>
    <xf numFmtId="0" fontId="8" fillId="0" borderId="11" xfId="0" applyFont="1" applyBorder="1" applyAlignment="1">
      <alignment horizontal="left" vertical="top" wrapText="1"/>
    </xf>
    <xf numFmtId="0" fontId="8" fillId="0" borderId="19" xfId="0" applyFont="1" applyBorder="1" applyAlignment="1">
      <alignment horizontal="left" wrapText="1"/>
    </xf>
    <xf numFmtId="0" fontId="8" fillId="0" borderId="18" xfId="0" applyFont="1" applyBorder="1" applyAlignment="1">
      <alignment horizontal="left"/>
    </xf>
    <xf numFmtId="0" fontId="8" fillId="0" borderId="11" xfId="0" applyFont="1" applyBorder="1" applyAlignment="1">
      <alignment horizontal="left"/>
    </xf>
    <xf numFmtId="0" fontId="30" fillId="6" borderId="0" xfId="0" applyFont="1" applyFill="1" applyBorder="1" applyAlignment="1" applyProtection="1">
      <alignment horizontal="left"/>
    </xf>
    <xf numFmtId="0" fontId="9" fillId="6" borderId="22" xfId="0" applyFont="1" applyFill="1" applyBorder="1" applyAlignment="1" applyProtection="1">
      <alignment horizontal="left"/>
    </xf>
    <xf numFmtId="0" fontId="20" fillId="8" borderId="43" xfId="8" applyAlignment="1" applyProtection="1">
      <alignment horizontal="left" vertical="top" wrapText="1"/>
      <protection locked="0"/>
    </xf>
    <xf numFmtId="0" fontId="32" fillId="0" borderId="18" xfId="0" applyFont="1" applyFill="1" applyBorder="1" applyAlignment="1" applyProtection="1">
      <alignment horizontal="left" wrapText="1"/>
    </xf>
    <xf numFmtId="0" fontId="32" fillId="0" borderId="11" xfId="0" applyFont="1" applyFill="1" applyBorder="1" applyAlignment="1" applyProtection="1">
      <alignment horizontal="left" wrapText="1"/>
    </xf>
  </cellXfs>
  <cellStyles count="11">
    <cellStyle name="Comma" xfId="1" builtinId="3"/>
    <cellStyle name="Currency" xfId="3" builtinId="4"/>
    <cellStyle name="Heading 1" xfId="4" builtinId="16" customBuiltin="1"/>
    <cellStyle name="Heading 2" xfId="5" builtinId="17" customBuiltin="1"/>
    <cellStyle name="Heading 3" xfId="6" builtinId="18" customBuiltin="1"/>
    <cellStyle name="Heading 4" xfId="7" builtinId="19" customBuiltin="1"/>
    <cellStyle name="Input" xfId="8" builtinId="20" customBuiltin="1"/>
    <cellStyle name="Normal" xfId="0" builtinId="0"/>
    <cellStyle name="Note" xfId="10" builtinId="10" customBuiltin="1"/>
    <cellStyle name="Output" xfId="9" builtinId="21" customBuiltin="1"/>
    <cellStyle name="Percent" xfId="2" builtinId="5"/>
  </cellStyles>
  <dxfs count="397">
    <dxf>
      <font>
        <b val="0"/>
        <i val="0"/>
        <strike val="0"/>
        <condense val="0"/>
        <extend val="0"/>
        <outline val="0"/>
        <shadow val="0"/>
        <u val="none"/>
        <vertAlign val="baseline"/>
        <sz val="12"/>
        <color theme="1"/>
        <name val="Calibri"/>
        <family val="2"/>
        <scheme val="minor"/>
      </font>
      <numFmt numFmtId="164" formatCode="_(&quot;$&quot;* #,##0_);_(&quot;$&quot;* \(#,##0\);_(&quot;$&quot;* &quot;-&quot;??_);_(@_)"/>
      <fill>
        <patternFill patternType="solid">
          <fgColor indexed="64"/>
          <bgColor theme="0"/>
        </patternFill>
      </fill>
      <border diagonalUp="0" diagonalDown="0">
        <left style="thin">
          <color indexed="64"/>
        </left>
        <right/>
        <top style="thin">
          <color indexed="64"/>
        </top>
        <bottom/>
        <vertical/>
        <horizontal/>
      </border>
    </dxf>
    <dxf>
      <font>
        <b val="0"/>
        <i val="0"/>
        <strike val="0"/>
        <condense val="0"/>
        <extend val="0"/>
        <outline val="0"/>
        <shadow val="0"/>
        <u val="none"/>
        <vertAlign val="baseline"/>
        <sz val="12"/>
        <color theme="1"/>
        <name val="Calibri"/>
        <family val="2"/>
        <scheme val="minor"/>
      </font>
      <numFmt numFmtId="14" formatCode="0.00%"/>
      <fill>
        <patternFill patternType="solid">
          <fgColor indexed="64"/>
          <bgColor theme="0" tint="-0.14999847407452621"/>
        </patternFill>
      </fill>
      <border diagonalUp="0" diagonalDown="0">
        <left style="thin">
          <color indexed="64"/>
        </left>
        <right/>
        <top style="thin">
          <color indexed="64"/>
        </top>
        <bottom/>
        <vertical/>
        <horizontal/>
      </border>
    </dxf>
    <dxf>
      <font>
        <b val="0"/>
        <i val="0"/>
        <strike val="0"/>
        <condense val="0"/>
        <extend val="0"/>
        <outline val="0"/>
        <shadow val="0"/>
        <u val="none"/>
        <vertAlign val="baseline"/>
        <sz val="12"/>
        <color theme="1"/>
        <name val="Calibri"/>
        <family val="2"/>
        <scheme val="minor"/>
      </font>
      <numFmt numFmtId="164" formatCode="_(&quot;$&quot;* #,##0_);_(&quot;$&quot;* \(#,##0\);_(&quot;$&quot;* &quot;-&quot;??_);_(@_)"/>
      <fill>
        <patternFill patternType="solid">
          <fgColor indexed="64"/>
          <bgColor theme="0" tint="-0.14999847407452621"/>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Calibri"/>
        <family val="2"/>
        <scheme val="minor"/>
      </font>
      <alignment horizontal="general" vertical="bottom" textRotation="0" wrapText="1"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theme="0"/>
        <name val="Calibri"/>
        <family val="2"/>
        <scheme val="minor"/>
      </font>
      <fill>
        <patternFill patternType="solid">
          <fgColor indexed="64"/>
          <bgColor theme="3" tint="-0.499984740745262"/>
        </patternFill>
      </fill>
      <alignment horizontal="center" vertical="bottom" textRotation="0" wrapText="1" indent="0" justifyLastLine="0" shrinkToFit="0" readingOrder="0"/>
    </dxf>
    <dxf>
      <font>
        <b/>
        <i/>
        <strike val="0"/>
        <condense val="0"/>
        <extend val="0"/>
        <outline val="0"/>
        <shadow val="0"/>
        <u val="none"/>
        <vertAlign val="baseline"/>
        <sz val="12"/>
        <color theme="1"/>
        <name val="Calibri"/>
        <family val="2"/>
        <scheme val="minor"/>
      </font>
      <fill>
        <patternFill patternType="solid">
          <fgColor indexed="64"/>
          <bgColor theme="3" tint="0.79998168889431442"/>
        </patternFill>
      </fill>
      <alignment horizontal="general" vertical="center" textRotation="0" wrapText="0" indent="0" justifyLastLine="0" shrinkToFit="0" readingOrder="0"/>
      <border diagonalUp="0" diagonalDown="0">
        <left/>
        <right style="thin">
          <color indexed="64"/>
        </right>
        <top style="thin">
          <color indexed="64"/>
        </top>
        <bottom style="thin">
          <color indexed="64"/>
        </bottom>
        <vertical/>
        <horizontal/>
      </border>
      <protection locked="1" hidden="0"/>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12"/>
        <color theme="0"/>
        <name val="Calibri"/>
        <family val="2"/>
        <scheme val="minor"/>
      </font>
      <fill>
        <patternFill patternType="solid">
          <fgColor indexed="64"/>
          <bgColor theme="3" tint="-0.499984740745262"/>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theme="1"/>
        <name val="Calibri"/>
        <family val="2"/>
        <scheme val="minor"/>
      </font>
      <numFmt numFmtId="165" formatCode="_(* #,##0_);_(* \(#,##0\);_(* &quot;-&quot;??_);_(@_)"/>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top style="thin">
          <color indexed="64"/>
        </top>
        <bottom style="thin">
          <color indexed="64"/>
        </bottom>
        <vertical/>
        <horizontal/>
      </border>
      <protection locked="1" hidden="0"/>
    </dxf>
    <dxf>
      <font>
        <b val="0"/>
        <i val="0"/>
        <strike val="0"/>
        <condense val="0"/>
        <extend val="0"/>
        <outline val="0"/>
        <shadow val="0"/>
        <u val="none"/>
        <vertAlign val="baseline"/>
        <sz val="12"/>
        <color theme="1"/>
        <name val="Calibri"/>
        <family val="2"/>
        <scheme val="minor"/>
      </font>
      <numFmt numFmtId="165" formatCode="_(* #,##0_);_(* \(#,##0\);_(* &quot;-&quot;??_);_(@_)"/>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2"/>
        <color theme="1"/>
        <name val="Calibri"/>
        <family val="2"/>
        <scheme val="minor"/>
      </font>
      <numFmt numFmtId="165" formatCode="_(* #,##0_);_(* \(#,##0\);_(* &quot;-&quot;??_);_(@_)"/>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2"/>
        <color theme="1"/>
        <name val="Calibri"/>
        <family val="2"/>
        <scheme val="minor"/>
      </font>
      <numFmt numFmtId="165" formatCode="_(* #,##0_);_(* \(#,##0\);_(* &quot;-&quot;??_);_(@_)"/>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2"/>
        <color theme="1"/>
        <name val="Calibri"/>
        <family val="2"/>
        <scheme val="minor"/>
      </font>
      <numFmt numFmtId="165" formatCode="_(* #,##0_);_(* \(#,##0\);_(* &quot;-&quot;??_);_(@_)"/>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2"/>
        <color theme="1"/>
        <name val="Calibri"/>
        <family val="2"/>
        <scheme val="minor"/>
      </font>
      <numFmt numFmtId="165" formatCode="_(* #,##0_);_(* \(#,##0\);_(* &quot;-&quot;??_);_(@_)"/>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2"/>
        <color theme="1"/>
        <name val="Calibri"/>
        <family val="2"/>
        <scheme val="minor"/>
      </font>
      <numFmt numFmtId="165" formatCode="_(* #,##0_);_(* \(#,##0\);_(* &quot;-&quot;??_);_(@_)"/>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2"/>
        <color theme="1"/>
        <name val="Calibri"/>
        <family val="2"/>
        <scheme val="minor"/>
      </font>
      <numFmt numFmtId="164" formatCode="_(&quot;$&quot;* #,##0_);_(&quot;$&quot;* \(#,##0\);_(&quot;$&quot;* &quot;-&quot;??_);_(@_)"/>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2"/>
        <color theme="1"/>
        <name val="Calibri"/>
        <family val="2"/>
        <scheme val="minor"/>
      </font>
      <fill>
        <patternFill patternType="none">
          <fgColor indexed="64"/>
          <bgColor indexed="65"/>
        </patternFill>
      </fill>
      <alignment horizontal="general" vertical="bottom" textRotation="0" wrapText="1" indent="0" justifyLastLine="0" shrinkToFit="0" readingOrder="0"/>
      <border diagonalUp="0" diagonalDown="0">
        <left/>
        <right style="thin">
          <color indexed="64"/>
        </right>
        <top style="thin">
          <color indexed="64"/>
        </top>
        <bottom style="thin">
          <color indexed="64"/>
        </bottom>
        <vertical/>
        <horizontal/>
      </border>
      <protection locked="1" hidden="0"/>
    </dxf>
    <dxf>
      <border outline="0">
        <top style="thin">
          <color indexed="64"/>
        </top>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Calibri"/>
        <family val="2"/>
        <scheme val="minor"/>
      </font>
      <fill>
        <patternFill patternType="none">
          <fgColor indexed="64"/>
          <bgColor indexed="65"/>
        </patternFill>
      </fill>
      <alignment horizontal="general" vertical="center" textRotation="0" wrapText="0" indent="0" justifyLastLine="0" shrinkToFit="0" readingOrder="0"/>
      <protection locked="1" hidden="0"/>
    </dxf>
    <dxf>
      <border outline="0">
        <bottom style="thin">
          <color indexed="64"/>
        </bottom>
      </border>
    </dxf>
    <dxf>
      <font>
        <b/>
        <i val="0"/>
        <strike val="0"/>
        <condense val="0"/>
        <extend val="0"/>
        <outline val="0"/>
        <shadow val="0"/>
        <u val="none"/>
        <vertAlign val="baseline"/>
        <sz val="12"/>
        <color theme="0"/>
        <name val="Calibri"/>
        <family val="2"/>
        <scheme val="minor"/>
      </font>
      <fill>
        <patternFill patternType="solid">
          <fgColor indexed="64"/>
          <bgColor theme="3" tint="-0.499984740745262"/>
        </patternFill>
      </fill>
      <alignment horizontal="center" vertical="center" textRotation="0" wrapText="0" indent="0" justifyLastLine="0" shrinkToFit="0" readingOrder="0"/>
      <border diagonalUp="0" diagonalDown="0" outline="0">
        <left style="thin">
          <color indexed="64"/>
        </left>
        <right style="thin">
          <color indexed="64"/>
        </right>
        <top/>
        <bottom/>
      </border>
    </dxf>
    <dxf>
      <numFmt numFmtId="164" formatCode="_(&quot;$&quot;* #,##0_);_(&quot;$&quot;* \(#,##0\);_(&quot;$&quot;* &quot;-&quot;??_);_(@_)"/>
      <protection locked="0" hidden="0"/>
    </dxf>
    <dxf>
      <numFmt numFmtId="164" formatCode="_(&quot;$&quot;* #,##0_);_(&quot;$&quot;* \(#,##0\);_(&quot;$&quot;* &quot;-&quot;??_);_(@_)"/>
      <protection locked="0" hidden="0"/>
    </dxf>
    <dxf>
      <numFmt numFmtId="164" formatCode="_(&quot;$&quot;* #,##0_);_(&quot;$&quot;* \(#,##0\);_(&quot;$&quot;* &quot;-&quot;??_);_(@_)"/>
      <protection locked="0" hidden="0"/>
    </dxf>
    <dxf>
      <numFmt numFmtId="164" formatCode="_(&quot;$&quot;* #,##0_);_(&quot;$&quot;* \(#,##0\);_(&quot;$&quot;* &quot;-&quot;??_);_(@_)"/>
      <protection locked="0" hidden="0"/>
    </dxf>
    <dxf>
      <numFmt numFmtId="164" formatCode="_(&quot;$&quot;* #,##0_);_(&quot;$&quot;* \(#,##0\);_(&quot;$&quot;* &quot;-&quot;??_);_(@_)"/>
      <protection locked="0" hidden="0"/>
    </dxf>
    <dxf>
      <numFmt numFmtId="164" formatCode="_(&quot;$&quot;* #,##0_);_(&quot;$&quot;* \(#,##0\);_(&quot;$&quot;* &quot;-&quot;??_);_(@_)"/>
      <protection locked="0" hidden="0"/>
    </dxf>
    <dxf>
      <numFmt numFmtId="164" formatCode="_(&quot;$&quot;* #,##0_);_(&quot;$&quot;* \(#,##0\);_(&quot;$&quot;* &quot;-&quot;??_);_(@_)"/>
      <protection locked="0" hidden="0"/>
    </dxf>
    <dxf>
      <numFmt numFmtId="164" formatCode="_(&quot;$&quot;* #,##0_);_(&quot;$&quot;* \(#,##0\);_(&quot;$&quot;* &quot;-&quot;??_);_(@_)"/>
      <alignment horizontal="general" vertical="bottom" textRotation="0" wrapText="0" indent="0" justifyLastLine="0" shrinkToFit="0" readingOrder="0"/>
      <protection locked="1" hidden="0"/>
    </dxf>
    <dxf>
      <font>
        <b val="0"/>
        <i val="0"/>
        <strike val="0"/>
        <condense val="0"/>
        <extend val="0"/>
        <outline val="0"/>
        <shadow val="0"/>
        <u val="none"/>
        <vertAlign val="baseline"/>
        <sz val="12"/>
        <color theme="1"/>
        <name val="Calibri"/>
        <family val="2"/>
        <scheme val="minor"/>
      </font>
      <alignment horizontal="left" vertical="top" textRotation="0" wrapText="1" indent="0" justifyLastLine="0" shrinkToFit="0" readingOrder="0"/>
      <protection locked="0" hidden="0"/>
    </dxf>
    <dxf>
      <alignment horizontal="left" vertical="top" textRotation="0" wrapText="1" indent="0" justifyLastLine="0" shrinkToFit="0" readingOrder="0"/>
      <protection locked="0" hidden="0"/>
    </dxf>
    <dxf>
      <border outline="0">
        <top style="thin">
          <color indexed="64"/>
        </top>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Calibri"/>
        <family val="2"/>
        <scheme val="minor"/>
      </font>
      <fill>
        <patternFill patternType="solid">
          <fgColor indexed="64"/>
          <bgColor theme="0" tint="-0.14999847407452621"/>
        </patternFill>
      </fill>
      <protection locked="0" hidden="0"/>
    </dxf>
    <dxf>
      <border outline="0">
        <bottom style="thin">
          <color indexed="64"/>
        </bottom>
      </border>
    </dxf>
    <dxf>
      <font>
        <b/>
        <i val="0"/>
        <strike val="0"/>
        <condense val="0"/>
        <extend val="0"/>
        <outline val="0"/>
        <shadow val="0"/>
        <u val="none"/>
        <vertAlign val="baseline"/>
        <sz val="12"/>
        <color theme="0"/>
        <name val="Calibri"/>
        <family val="2"/>
        <scheme val="minor"/>
      </font>
      <fill>
        <patternFill patternType="solid">
          <fgColor indexed="64"/>
          <bgColor theme="3" tint="-0.499984740745262"/>
        </patternFill>
      </fill>
      <alignment horizontal="center" vertical="bottom" textRotation="0" wrapText="1" indent="0" justifyLastLine="0" shrinkToFit="0" readingOrder="0"/>
      <border diagonalUp="0" diagonalDown="0" outline="0">
        <left style="thin">
          <color indexed="64"/>
        </left>
        <right style="thin">
          <color indexed="64"/>
        </right>
        <top/>
        <bottom/>
      </border>
    </dxf>
    <dxf>
      <numFmt numFmtId="164" formatCode="_(&quot;$&quot;* #,##0_);_(&quot;$&quot;* \(#,##0\);_(&quot;$&quot;* &quot;-&quot;??_);_(@_)"/>
      <protection locked="1" hidden="0"/>
    </dxf>
    <dxf>
      <numFmt numFmtId="13" formatCode="0%"/>
      <protection locked="0" hidden="0"/>
    </dxf>
    <dxf>
      <numFmt numFmtId="164" formatCode="_(&quot;$&quot;* #,##0_);_(&quot;$&quot;* \(#,##0\);_(&quot;$&quot;* &quot;-&quot;??_);_(@_)"/>
      <protection locked="0" hidden="0"/>
    </dxf>
    <dxf>
      <numFmt numFmtId="0" formatCode="General"/>
      <alignment horizontal="right" vertical="bottom" textRotation="0" wrapText="0" indent="0" justifyLastLine="0" shrinkToFit="0" readingOrder="0"/>
      <protection locked="0" hidden="0"/>
    </dxf>
    <dxf>
      <protection locked="1" hidden="0"/>
    </dxf>
    <dxf>
      <alignment horizontal="general" vertical="bottom" textRotation="0" wrapText="1" indent="0" justifyLastLine="0" shrinkToFit="0" readingOrder="0"/>
      <protection locked="0" hidden="0"/>
    </dxf>
    <dxf>
      <border outline="0">
        <left style="thin">
          <color indexed="64"/>
        </left>
        <top style="thin">
          <color indexed="64"/>
        </top>
        <bottom style="thin">
          <color indexed="64"/>
        </bottom>
      </border>
    </dxf>
    <dxf>
      <font>
        <b/>
        <i val="0"/>
        <strike val="0"/>
        <condense val="0"/>
        <extend val="0"/>
        <outline val="0"/>
        <shadow val="0"/>
        <u val="none"/>
        <vertAlign val="baseline"/>
        <sz val="12"/>
        <color theme="0"/>
        <name val="Calibri"/>
        <family val="2"/>
        <scheme val="minor"/>
      </font>
      <fill>
        <patternFill patternType="solid">
          <fgColor indexed="64"/>
          <bgColor theme="3" tint="-0.499984740745262"/>
        </patternFill>
      </fill>
      <alignment horizontal="center" vertical="bottom" textRotation="0" wrapText="1" indent="0" justifyLastLine="0" shrinkToFit="0" readingOrder="0"/>
    </dxf>
    <dxf>
      <protection locked="0" hidden="0"/>
    </dxf>
    <dxf>
      <protection locked="0" hidden="0"/>
    </dxf>
    <dxf>
      <protection locked="0" hidden="0"/>
    </dxf>
    <dxf>
      <protection locked="0" hidden="0"/>
    </dxf>
    <dxf>
      <protection locked="0" hidden="0"/>
    </dxf>
    <dxf>
      <protection locked="0" hidden="0"/>
    </dxf>
    <dxf>
      <protection locked="0" hidden="0"/>
    </dxf>
    <dxf>
      <numFmt numFmtId="164" formatCode="_(&quot;$&quot;* #,##0_);_(&quot;$&quot;* \(#,##0\);_(&quot;$&quot;* &quot;-&quot;??_);_(@_)"/>
      <alignment horizontal="general" vertical="bottom" textRotation="0" wrapText="1" indent="0" justifyLastLine="0" shrinkToFit="0" readingOrder="0"/>
      <protection locked="1" hidden="0"/>
    </dxf>
    <dxf>
      <font>
        <b val="0"/>
        <i val="0"/>
        <strike val="0"/>
        <condense val="0"/>
        <extend val="0"/>
        <outline val="0"/>
        <shadow val="0"/>
        <u val="none"/>
        <vertAlign val="baseline"/>
        <sz val="12"/>
        <color auto="1"/>
        <name val="Calibri"/>
        <family val="2"/>
        <scheme val="none"/>
      </font>
      <alignment horizontal="left" vertical="top" textRotation="0" wrapText="1" indent="0" justifyLastLine="0" shrinkToFit="0" readingOrder="0"/>
      <protection locked="0" hidden="0"/>
    </dxf>
    <dxf>
      <alignment horizontal="left" vertical="top" textRotation="0" wrapText="1" indent="0" justifyLastLine="0" shrinkToFit="0" readingOrder="0"/>
      <protection locked="0" hidden="0"/>
    </dxf>
    <dxf>
      <border outline="0">
        <left style="thin">
          <color indexed="64"/>
        </left>
        <bottom style="thin">
          <color indexed="64"/>
        </bottom>
      </border>
    </dxf>
    <dxf>
      <font>
        <b val="0"/>
        <i val="0"/>
        <strike val="0"/>
        <condense val="0"/>
        <extend val="0"/>
        <outline val="0"/>
        <shadow val="0"/>
        <u val="none"/>
        <vertAlign val="baseline"/>
        <sz val="12"/>
        <color theme="1"/>
        <name val="Calibri"/>
        <family val="2"/>
        <scheme val="minor"/>
      </font>
      <fill>
        <patternFill patternType="solid">
          <fgColor indexed="64"/>
          <bgColor theme="0" tint="-0.14999847407452621"/>
        </patternFill>
      </fill>
      <protection locked="0" hidden="0"/>
    </dxf>
    <dxf>
      <font>
        <b/>
        <i val="0"/>
        <strike val="0"/>
        <condense val="0"/>
        <extend val="0"/>
        <outline val="0"/>
        <shadow val="0"/>
        <u val="none"/>
        <vertAlign val="baseline"/>
        <sz val="12"/>
        <color theme="0"/>
        <name val="Calibri"/>
        <family val="2"/>
        <scheme val="minor"/>
      </font>
      <fill>
        <patternFill patternType="solid">
          <fgColor indexed="64"/>
          <bgColor theme="3" tint="-0.499984740745262"/>
        </patternFill>
      </fill>
      <alignment horizontal="center" vertical="bottom" textRotation="0" wrapText="1" indent="0" justifyLastLine="0" shrinkToFit="0" readingOrder="0"/>
    </dxf>
    <dxf>
      <font>
        <b val="0"/>
        <i/>
        <strike val="0"/>
        <condense val="0"/>
        <extend val="0"/>
        <outline val="0"/>
        <shadow val="0"/>
        <u val="none"/>
        <vertAlign val="baseline"/>
        <sz val="12"/>
        <color rgb="FFFF0000"/>
        <name val="Calibri"/>
        <family val="2"/>
        <scheme val="minor"/>
      </font>
      <numFmt numFmtId="173" formatCode="_(&quot;$&quot;* #,##0.000_);_(&quot;$&quot;* \(#,##0.000\);_(&quot;$&quot;* &quot;-&quot;???_);_(@_)"/>
      <alignment horizontal="left" vertical="top" textRotation="0" wrapText="1" indent="0" justifyLastLine="0" shrinkToFit="0" readingOrder="0"/>
      <protection locked="1" hidden="0"/>
    </dxf>
    <dxf>
      <font>
        <b val="0"/>
        <i val="0"/>
        <strike val="0"/>
        <condense val="0"/>
        <extend val="0"/>
        <outline val="0"/>
        <shadow val="0"/>
        <u val="none"/>
        <vertAlign val="baseline"/>
        <sz val="12"/>
        <color auto="1"/>
        <name val="Calibri"/>
        <family val="2"/>
        <scheme val="minor"/>
      </font>
      <alignment horizontal="left" vertical="top" textRotation="0" wrapText="1" indent="0" justifyLastLine="0" shrinkToFit="0" readingOrder="0"/>
      <protection locked="0" hidden="0"/>
    </dxf>
    <dxf>
      <numFmt numFmtId="168" formatCode="0.000%"/>
      <protection locked="0" hidden="0"/>
    </dxf>
    <dxf>
      <alignment horizontal="left" vertical="top" textRotation="0" wrapText="1" indent="0" justifyLastLine="0" shrinkToFit="0" readingOrder="0"/>
      <protection locked="0" hidden="0"/>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12"/>
        <color theme="0"/>
        <name val="Calibri"/>
        <family val="2"/>
        <scheme val="minor"/>
      </font>
      <fill>
        <patternFill patternType="solid">
          <fgColor indexed="64"/>
          <bgColor theme="3" tint="-0.499984740745262"/>
        </patternFill>
      </fill>
      <alignment horizontal="center" vertical="bottom" textRotation="0" wrapText="0" indent="0" justifyLastLine="0" shrinkToFit="0" readingOrder="0"/>
      <border diagonalUp="0" diagonalDown="0" outline="0">
        <left style="thin">
          <color indexed="64"/>
        </left>
        <right style="thin">
          <color indexed="64"/>
        </right>
        <top/>
        <bottom/>
      </border>
    </dxf>
    <dxf>
      <font>
        <b/>
        <i/>
        <strike val="0"/>
        <condense val="0"/>
        <extend val="0"/>
        <outline val="0"/>
        <shadow val="0"/>
        <u val="none"/>
        <vertAlign val="baseline"/>
        <sz val="12"/>
        <color theme="1"/>
        <name val="Calibri"/>
        <family val="2"/>
        <scheme val="minor"/>
      </font>
      <fill>
        <patternFill patternType="solid">
          <fgColor indexed="64"/>
          <bgColor theme="3" tint="0.79998168889431442"/>
        </patternFill>
      </fill>
      <alignment horizontal="general" vertical="center" textRotation="0" wrapText="0" indent="0" justifyLastLine="0" shrinkToFit="0" readingOrder="0"/>
      <border diagonalUp="0" diagonalDown="0">
        <left/>
        <right style="thin">
          <color indexed="64"/>
        </right>
        <top style="thin">
          <color indexed="64"/>
        </top>
        <bottom style="thin">
          <color indexed="64"/>
        </bottom>
        <vertical/>
        <horizontal/>
      </border>
      <protection locked="1" hidden="0"/>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12"/>
        <color theme="0"/>
        <name val="Calibri"/>
        <family val="2"/>
        <scheme val="minor"/>
      </font>
      <fill>
        <patternFill patternType="solid">
          <fgColor indexed="64"/>
          <bgColor theme="3" tint="-0.499984740745262"/>
        </patternFill>
      </fill>
      <alignment horizontal="center" vertical="center" textRotation="0" wrapText="0" indent="0" justifyLastLine="0" shrinkToFit="0" readingOrder="0"/>
      <border diagonalUp="0" diagonalDown="0" outline="0">
        <left style="thin">
          <color indexed="64"/>
        </left>
        <right style="thin">
          <color indexed="64"/>
        </right>
        <top/>
        <bottom/>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12"/>
        <color theme="0"/>
        <name val="Calibri"/>
        <family val="2"/>
        <scheme val="minor"/>
      </font>
      <fill>
        <patternFill patternType="solid">
          <fgColor indexed="64"/>
          <bgColor theme="3" tint="-0.499984740745262"/>
        </patternFill>
      </fill>
      <alignment horizontal="center" vertical="center" textRotation="0" wrapText="0" indent="0" justifyLastLine="0" shrinkToFit="0" readingOrder="0"/>
      <border diagonalUp="0" diagonalDown="0" outline="0">
        <left style="thin">
          <color indexed="64"/>
        </left>
        <right style="thin">
          <color indexed="64"/>
        </right>
        <top/>
        <bottom/>
      </border>
    </dxf>
    <dxf>
      <numFmt numFmtId="164" formatCode="_(&quot;$&quot;* #,##0_);_(&quot;$&quot;* \(#,##0\);_(&quot;$&quot;* &quot;-&quot;??_);_(@_)"/>
      <alignment horizontal="general" vertical="bottom" textRotation="0" wrapText="0" indent="0" justifyLastLine="0" shrinkToFit="0" readingOrder="0"/>
      <protection locked="0" hidden="0"/>
    </dxf>
    <dxf>
      <numFmt numFmtId="164" formatCode="_(&quot;$&quot;* #,##0_);_(&quot;$&quot;* \(#,##0\);_(&quot;$&quot;* &quot;-&quot;??_);_(@_)"/>
      <alignment horizontal="general" vertical="bottom" textRotation="0" wrapText="0" indent="0" justifyLastLine="0" shrinkToFit="0" readingOrder="0"/>
      <protection locked="0" hidden="0"/>
    </dxf>
    <dxf>
      <numFmt numFmtId="164" formatCode="_(&quot;$&quot;* #,##0_);_(&quot;$&quot;* \(#,##0\);_(&quot;$&quot;* &quot;-&quot;??_);_(@_)"/>
      <alignment horizontal="general" vertical="bottom" textRotation="0" wrapText="0" indent="0" justifyLastLine="0" shrinkToFit="0" readingOrder="0"/>
      <protection locked="0" hidden="0"/>
    </dxf>
    <dxf>
      <numFmt numFmtId="164" formatCode="_(&quot;$&quot;* #,##0_);_(&quot;$&quot;* \(#,##0\);_(&quot;$&quot;* &quot;-&quot;??_);_(@_)"/>
      <alignment horizontal="general" vertical="bottom" textRotation="0" wrapText="0" indent="0" justifyLastLine="0" shrinkToFit="0" readingOrder="0"/>
      <protection locked="0" hidden="0"/>
    </dxf>
    <dxf>
      <numFmt numFmtId="164" formatCode="_(&quot;$&quot;* #,##0_);_(&quot;$&quot;* \(#,##0\);_(&quot;$&quot;* &quot;-&quot;??_);_(@_)"/>
      <alignment horizontal="general" vertical="bottom" textRotation="0" wrapText="0" indent="0" justifyLastLine="0" shrinkToFit="0" readingOrder="0"/>
      <protection locked="0" hidden="0"/>
    </dxf>
    <dxf>
      <numFmt numFmtId="164" formatCode="_(&quot;$&quot;* #,##0_);_(&quot;$&quot;* \(#,##0\);_(&quot;$&quot;* &quot;-&quot;??_);_(@_)"/>
      <alignment horizontal="general" vertical="bottom" textRotation="0" wrapText="0" indent="0" justifyLastLine="0" shrinkToFit="0" readingOrder="0"/>
      <protection locked="0" hidden="0"/>
    </dxf>
    <dxf>
      <numFmt numFmtId="164" formatCode="_(&quot;$&quot;* #,##0_);_(&quot;$&quot;* \(#,##0\);_(&quot;$&quot;* &quot;-&quot;??_);_(@_)"/>
      <protection locked="0" hidden="0"/>
    </dxf>
    <dxf>
      <numFmt numFmtId="164" formatCode="_(&quot;$&quot;* #,##0_);_(&quot;$&quot;* \(#,##0\);_(&quot;$&quot;* &quot;-&quot;??_);_(@_)"/>
      <alignment horizontal="general" vertical="bottom" textRotation="0" wrapText="0" indent="0" justifyLastLine="0" shrinkToFit="0" readingOrder="0"/>
      <protection locked="0" hidden="0"/>
    </dxf>
    <dxf>
      <font>
        <b val="0"/>
        <i val="0"/>
        <strike val="0"/>
        <condense val="0"/>
        <extend val="0"/>
        <outline val="0"/>
        <shadow val="0"/>
        <u val="none"/>
        <vertAlign val="baseline"/>
        <sz val="12"/>
        <color theme="1"/>
        <name val="Calibri"/>
        <family val="2"/>
        <scheme val="minor"/>
      </font>
      <alignment horizontal="general" vertical="bottom" textRotation="0" wrapText="1" indent="0" justifyLastLine="0" shrinkToFit="0" readingOrder="0"/>
      <protection locked="0" hidden="0"/>
    </dxf>
    <dxf>
      <alignment horizontal="general" vertical="bottom" textRotation="0" wrapText="1" indent="0" justifyLastLine="0" shrinkToFit="0" readingOrder="0"/>
      <protection locked="0" hidden="0"/>
    </dxf>
    <dxf>
      <border outline="0">
        <top style="thin">
          <color indexed="64"/>
        </top>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Calibri"/>
        <family val="2"/>
        <scheme val="minor"/>
      </font>
      <fill>
        <patternFill patternType="solid">
          <fgColor indexed="64"/>
          <bgColor theme="0" tint="-0.14999847407452621"/>
        </patternFill>
      </fill>
      <alignment horizontal="general" vertical="bottom" textRotation="0" wrapText="0" indent="0" justifyLastLine="0" shrinkToFit="0" readingOrder="0"/>
      <protection locked="0" hidden="0"/>
    </dxf>
    <dxf>
      <border outline="0">
        <bottom style="thin">
          <color indexed="64"/>
        </bottom>
      </border>
    </dxf>
    <dxf>
      <font>
        <b/>
        <i val="0"/>
        <strike val="0"/>
        <condense val="0"/>
        <extend val="0"/>
        <outline val="0"/>
        <shadow val="0"/>
        <u val="none"/>
        <vertAlign val="baseline"/>
        <sz val="12"/>
        <color theme="0"/>
        <name val="Calibri"/>
        <family val="2"/>
        <scheme val="minor"/>
      </font>
      <fill>
        <patternFill patternType="solid">
          <fgColor indexed="64"/>
          <bgColor theme="3" tint="-0.499984740745262"/>
        </patternFill>
      </fill>
      <alignment horizontal="center" vertical="bottom" textRotation="0" wrapText="1" indent="0" justifyLastLine="0" shrinkToFit="0" readingOrder="0"/>
      <border diagonalUp="0" diagonalDown="0" outline="0">
        <left style="thin">
          <color indexed="64"/>
        </left>
        <right style="thin">
          <color indexed="64"/>
        </right>
        <top/>
        <bottom/>
      </border>
    </dxf>
    <dxf>
      <numFmt numFmtId="164" formatCode="_(&quot;$&quot;* #,##0_);_(&quot;$&quot;* \(#,##0\);_(&quot;$&quot;* &quot;-&quot;??_);_(@_)"/>
      <alignment horizontal="left" vertical="top" textRotation="0" wrapText="0" indent="0" justifyLastLine="0" shrinkToFit="0" readingOrder="0"/>
    </dxf>
    <dxf>
      <numFmt numFmtId="13" formatCode="0%"/>
      <alignment horizontal="left" vertical="top" textRotation="0" wrapText="0" indent="0" justifyLastLine="0" shrinkToFit="0" readingOrder="0"/>
    </dxf>
    <dxf>
      <numFmt numFmtId="164" formatCode="_(&quot;$&quot;* #,##0_);_(&quot;$&quot;* \(#,##0\);_(&quot;$&quot;* &quot;-&quot;??_);_(@_)"/>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protection locked="1" hidden="0"/>
    </dxf>
    <dxf>
      <alignment horizontal="left" vertical="top" textRotation="0" wrapText="1" indent="0" justifyLastLine="0" shrinkToFit="0" readingOrder="0"/>
    </dxf>
    <dxf>
      <border outline="0">
        <top style="thin">
          <color indexed="64"/>
        </top>
      </border>
    </dxf>
    <dxf>
      <border outline="0">
        <left style="thin">
          <color indexed="64"/>
        </left>
        <top style="thin">
          <color indexed="64"/>
        </top>
        <bottom style="thin">
          <color indexed="64"/>
        </bottom>
      </border>
    </dxf>
    <dxf>
      <border outline="0">
        <bottom style="thin">
          <color theme="4" tint="0.39997558519241921"/>
        </bottom>
      </border>
    </dxf>
    <dxf>
      <font>
        <b/>
        <i val="0"/>
        <strike val="0"/>
        <condense val="0"/>
        <extend val="0"/>
        <outline val="0"/>
        <shadow val="0"/>
        <u val="none"/>
        <vertAlign val="baseline"/>
        <sz val="12"/>
        <color theme="0"/>
        <name val="Calibri"/>
        <family val="2"/>
        <scheme val="minor"/>
      </font>
      <fill>
        <patternFill patternType="solid">
          <fgColor indexed="64"/>
          <bgColor theme="3" tint="-0.499984740745262"/>
        </patternFill>
      </fill>
      <alignment horizontal="center" vertical="bottom" textRotation="0" wrapText="1" indent="0" justifyLastLine="0" shrinkToFit="0" readingOrder="0"/>
    </dxf>
    <dxf>
      <protection locked="0" hidden="0"/>
    </dxf>
    <dxf>
      <protection locked="0" hidden="0"/>
    </dxf>
    <dxf>
      <protection locked="0" hidden="0"/>
    </dxf>
    <dxf>
      <protection locked="0" hidden="0"/>
    </dxf>
    <dxf>
      <protection locked="0" hidden="0"/>
    </dxf>
    <dxf>
      <protection locked="0" hidden="0"/>
    </dxf>
    <dxf>
      <protection locked="0" hidden="0"/>
    </dxf>
    <dxf>
      <font>
        <b val="0"/>
        <i val="0"/>
        <strike val="0"/>
        <condense val="0"/>
        <extend val="0"/>
        <outline val="0"/>
        <shadow val="0"/>
        <u val="none"/>
        <vertAlign val="baseline"/>
        <sz val="12"/>
        <color auto="1"/>
        <name val="Calibri"/>
        <family val="2"/>
        <scheme val="none"/>
      </font>
      <alignment horizontal="left" vertical="top" textRotation="0" wrapText="1" indent="0" justifyLastLine="0" shrinkToFit="0" readingOrder="0"/>
      <protection locked="0" hidden="0"/>
    </dxf>
    <dxf>
      <border outline="0">
        <left style="thin">
          <color indexed="64"/>
        </left>
        <bottom style="thin">
          <color indexed="64"/>
        </bottom>
      </border>
    </dxf>
    <dxf>
      <font>
        <b val="0"/>
        <i val="0"/>
        <strike val="0"/>
        <condense val="0"/>
        <extend val="0"/>
        <outline val="0"/>
        <shadow val="0"/>
        <u val="none"/>
        <vertAlign val="baseline"/>
        <sz val="12"/>
        <color theme="1"/>
        <name val="Calibri"/>
        <family val="2"/>
        <scheme val="minor"/>
      </font>
      <fill>
        <patternFill patternType="solid">
          <fgColor indexed="64"/>
          <bgColor theme="0" tint="-0.14999847407452621"/>
        </patternFill>
      </fill>
      <protection locked="0" hidden="0"/>
    </dxf>
    <dxf>
      <font>
        <b/>
        <i val="0"/>
        <strike val="0"/>
        <condense val="0"/>
        <extend val="0"/>
        <outline val="0"/>
        <shadow val="0"/>
        <u val="none"/>
        <vertAlign val="baseline"/>
        <sz val="12"/>
        <color theme="0"/>
        <name val="Calibri"/>
        <family val="2"/>
        <scheme val="minor"/>
      </font>
      <fill>
        <patternFill patternType="solid">
          <fgColor indexed="64"/>
          <bgColor theme="3" tint="-0.499984740745262"/>
        </patternFill>
      </fill>
      <alignment horizontal="center" vertical="bottom" textRotation="0" wrapText="1" indent="0" justifyLastLine="0" shrinkToFit="0" readingOrder="0"/>
    </dxf>
    <dxf>
      <font>
        <b val="0"/>
        <i val="0"/>
        <strike val="0"/>
        <condense val="0"/>
        <extend val="0"/>
        <outline val="0"/>
        <shadow val="0"/>
        <u val="none"/>
        <vertAlign val="baseline"/>
        <sz val="12"/>
        <color theme="1"/>
        <name val="Calibri"/>
        <family val="2"/>
        <scheme val="minor"/>
      </font>
      <alignment horizontal="left" vertical="top" textRotation="0" wrapText="1" indent="0" justifyLastLine="0" shrinkToFit="0" readingOrder="0"/>
      <protection locked="1" hidden="0"/>
    </dxf>
    <dxf>
      <font>
        <b val="0"/>
        <i val="0"/>
        <strike val="0"/>
        <condense val="0"/>
        <extend val="0"/>
        <outline val="0"/>
        <shadow val="0"/>
        <u val="none"/>
        <vertAlign val="baseline"/>
        <sz val="12"/>
        <color theme="1"/>
        <name val="Calibri"/>
        <family val="2"/>
        <scheme val="minor"/>
      </font>
      <alignment horizontal="left" vertical="top" textRotation="0" wrapText="1" indent="0" justifyLastLine="0" shrinkToFit="0" readingOrder="0"/>
      <protection locked="1" hidden="0"/>
    </dxf>
    <dxf>
      <numFmt numFmtId="0" formatCode="General"/>
      <alignment horizontal="right" vertical="bottom" textRotation="0" wrapText="0" indent="0" justifyLastLine="0" shrinkToFit="0" readingOrder="0"/>
      <protection locked="0" hidden="0"/>
    </dxf>
    <dxf>
      <alignment horizontal="left" vertical="top" textRotation="0" wrapText="1" indent="0" justifyLastLine="0" shrinkToFit="0" readingOrder="0"/>
      <protection locked="0" hidden="0"/>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12"/>
        <color theme="0"/>
        <name val="Calibri"/>
        <family val="2"/>
        <scheme val="minor"/>
      </font>
      <fill>
        <patternFill patternType="solid">
          <fgColor indexed="64"/>
          <bgColor theme="3" tint="-0.499984740745262"/>
        </patternFill>
      </fill>
      <alignment horizontal="center" vertical="bottom" textRotation="0" wrapText="0" indent="0" justifyLastLine="0" shrinkToFit="0" readingOrder="0"/>
      <border diagonalUp="0" diagonalDown="0" outline="0">
        <left style="thin">
          <color indexed="64"/>
        </left>
        <right style="thin">
          <color indexed="64"/>
        </right>
        <top/>
        <bottom/>
      </border>
    </dxf>
    <dxf>
      <font>
        <b/>
        <i/>
        <strike val="0"/>
        <condense val="0"/>
        <extend val="0"/>
        <outline val="0"/>
        <shadow val="0"/>
        <u val="none"/>
        <vertAlign val="baseline"/>
        <sz val="12"/>
        <color theme="1"/>
        <name val="Calibri"/>
        <family val="2"/>
        <scheme val="minor"/>
      </font>
      <fill>
        <patternFill patternType="solid">
          <fgColor indexed="64"/>
          <bgColor theme="3" tint="0.79998168889431442"/>
        </patternFill>
      </fill>
      <alignment horizontal="general" vertical="center" textRotation="0" wrapText="0" indent="0" justifyLastLine="0" shrinkToFit="0" readingOrder="0"/>
      <border diagonalUp="0" diagonalDown="0">
        <left/>
        <right style="thin">
          <color indexed="64"/>
        </right>
        <top style="thin">
          <color indexed="64"/>
        </top>
        <bottom style="thin">
          <color indexed="64"/>
        </bottom>
        <vertical/>
        <horizontal/>
      </border>
      <protection locked="1" hidden="0"/>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12"/>
        <color theme="0"/>
        <name val="Calibri"/>
        <family val="2"/>
        <scheme val="minor"/>
      </font>
      <fill>
        <patternFill patternType="solid">
          <fgColor indexed="64"/>
          <bgColor theme="3" tint="-0.499984740745262"/>
        </patternFill>
      </fill>
      <alignment horizontal="center" vertical="center" textRotation="0" wrapText="0" indent="0" justifyLastLine="0" shrinkToFit="0" readingOrder="0"/>
      <border diagonalUp="0" diagonalDown="0" outline="0">
        <left style="thin">
          <color indexed="64"/>
        </left>
        <right style="thin">
          <color indexed="64"/>
        </right>
        <top/>
        <bottom/>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12"/>
        <color theme="0"/>
        <name val="Calibri"/>
        <family val="2"/>
        <scheme val="minor"/>
      </font>
      <fill>
        <patternFill patternType="solid">
          <fgColor indexed="64"/>
          <bgColor theme="3" tint="-0.499984740745262"/>
        </patternFill>
      </fill>
      <alignment horizontal="center" vertical="center" textRotation="0" wrapText="0" indent="0" justifyLastLine="0" shrinkToFit="0" readingOrder="0"/>
      <border diagonalUp="0" diagonalDown="0" outline="0">
        <left style="thin">
          <color indexed="64"/>
        </left>
        <right style="thin">
          <color indexed="64"/>
        </right>
        <top/>
        <bottom/>
      </border>
    </dxf>
    <dxf>
      <numFmt numFmtId="164" formatCode="_(&quot;$&quot;* #,##0_);_(&quot;$&quot;* \(#,##0\);_(&quot;$&quot;* &quot;-&quot;??_);_(@_)"/>
      <protection locked="0" hidden="0"/>
    </dxf>
    <dxf>
      <numFmt numFmtId="164" formatCode="_(&quot;$&quot;* #,##0_);_(&quot;$&quot;* \(#,##0\);_(&quot;$&quot;* &quot;-&quot;??_);_(@_)"/>
      <protection locked="0" hidden="0"/>
    </dxf>
    <dxf>
      <numFmt numFmtId="164" formatCode="_(&quot;$&quot;* #,##0_);_(&quot;$&quot;* \(#,##0\);_(&quot;$&quot;* &quot;-&quot;??_);_(@_)"/>
      <protection locked="0" hidden="0"/>
    </dxf>
    <dxf>
      <numFmt numFmtId="164" formatCode="_(&quot;$&quot;* #,##0_);_(&quot;$&quot;* \(#,##0\);_(&quot;$&quot;* &quot;-&quot;??_);_(@_)"/>
      <protection locked="0" hidden="0"/>
    </dxf>
    <dxf>
      <numFmt numFmtId="164" formatCode="_(&quot;$&quot;* #,##0_);_(&quot;$&quot;* \(#,##0\);_(&quot;$&quot;* &quot;-&quot;??_);_(@_)"/>
      <protection locked="0" hidden="0"/>
    </dxf>
    <dxf>
      <numFmt numFmtId="164" formatCode="_(&quot;$&quot;* #,##0_);_(&quot;$&quot;* \(#,##0\);_(&quot;$&quot;* &quot;-&quot;??_);_(@_)"/>
      <protection locked="0" hidden="0"/>
    </dxf>
    <dxf>
      <numFmt numFmtId="164" formatCode="_(&quot;$&quot;* #,##0_);_(&quot;$&quot;* \(#,##0\);_(&quot;$&quot;* &quot;-&quot;??_);_(@_)"/>
      <protection locked="0" hidden="0"/>
    </dxf>
    <dxf>
      <numFmt numFmtId="164" formatCode="_(&quot;$&quot;* #,##0_);_(&quot;$&quot;* \(#,##0\);_(&quot;$&quot;* &quot;-&quot;??_);_(@_)"/>
      <alignment horizontal="general" vertical="bottom" textRotation="0" wrapText="0" indent="0" justifyLastLine="0" shrinkToFit="0" readingOrder="0"/>
      <protection locked="1" hidden="0"/>
    </dxf>
    <dxf>
      <font>
        <b val="0"/>
        <i val="0"/>
        <strike val="0"/>
        <condense val="0"/>
        <extend val="0"/>
        <outline val="0"/>
        <shadow val="0"/>
        <u val="none"/>
        <vertAlign val="baseline"/>
        <sz val="12"/>
        <color theme="1"/>
        <name val="Calibri"/>
        <family val="2"/>
        <scheme val="minor"/>
      </font>
      <alignment horizontal="left" vertical="top" textRotation="0" wrapText="1" indent="0" justifyLastLine="0" shrinkToFit="0" readingOrder="0"/>
      <protection locked="0" hidden="0"/>
    </dxf>
    <dxf>
      <alignment horizontal="left" vertical="top" textRotation="0" wrapText="1" indent="0" justifyLastLine="0" shrinkToFit="0" readingOrder="0"/>
      <protection locked="0" hidden="0"/>
    </dxf>
    <dxf>
      <border outline="0">
        <top style="thin">
          <color indexed="64"/>
        </top>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Calibri"/>
        <family val="2"/>
        <scheme val="minor"/>
      </font>
      <fill>
        <patternFill patternType="solid">
          <fgColor indexed="64"/>
          <bgColor theme="0" tint="-0.14999847407452621"/>
        </patternFill>
      </fill>
      <protection locked="0" hidden="0"/>
    </dxf>
    <dxf>
      <border outline="0">
        <bottom style="thin">
          <color indexed="64"/>
        </bottom>
      </border>
    </dxf>
    <dxf>
      <font>
        <b/>
        <i val="0"/>
        <strike val="0"/>
        <condense val="0"/>
        <extend val="0"/>
        <outline val="0"/>
        <shadow val="0"/>
        <u val="none"/>
        <vertAlign val="baseline"/>
        <sz val="12"/>
        <color theme="0"/>
        <name val="Calibri"/>
        <family val="2"/>
        <scheme val="minor"/>
      </font>
      <fill>
        <patternFill patternType="solid">
          <fgColor indexed="64"/>
          <bgColor theme="3" tint="-0.499984740745262"/>
        </patternFill>
      </fill>
      <alignment horizontal="center" vertical="bottom" textRotation="0" wrapText="1" indent="0" justifyLastLine="0" shrinkToFit="0" readingOrder="0"/>
      <border diagonalUp="0" diagonalDown="0" outline="0">
        <left style="thin">
          <color indexed="64"/>
        </left>
        <right style="thin">
          <color indexed="64"/>
        </right>
        <top/>
        <bottom/>
      </border>
    </dxf>
    <dxf>
      <numFmt numFmtId="164" formatCode="_(&quot;$&quot;* #,##0_);_(&quot;$&quot;* \(#,##0\);_(&quot;$&quot;* &quot;-&quot;??_);_(@_)"/>
      <alignment horizontal="left" vertical="top" textRotation="0" wrapText="0" indent="0" justifyLastLine="0" shrinkToFit="0" readingOrder="0"/>
      <protection locked="1" hidden="0"/>
    </dxf>
    <dxf>
      <numFmt numFmtId="13" formatCode="0%"/>
      <alignment horizontal="left" vertical="top" textRotation="0" wrapText="0" indent="0" justifyLastLine="0" shrinkToFit="0" readingOrder="0"/>
      <protection locked="0" hidden="0"/>
    </dxf>
    <dxf>
      <numFmt numFmtId="164" formatCode="_(&quot;$&quot;* #,##0_);_(&quot;$&quot;* \(#,##0\);_(&quot;$&quot;* &quot;-&quot;??_);_(@_)"/>
      <alignment horizontal="left" vertical="top" textRotation="0" wrapText="0" indent="0" justifyLastLine="0" shrinkToFit="0" readingOrder="0"/>
      <protection locked="0" hidden="0"/>
    </dxf>
    <dxf>
      <numFmt numFmtId="0" formatCode="General"/>
      <alignment horizontal="left" vertical="top" textRotation="0" wrapText="0" indent="0" justifyLastLine="0" shrinkToFit="0" readingOrder="0"/>
      <protection locked="0" hidden="0"/>
    </dxf>
    <dxf>
      <alignment horizontal="left" vertical="top" textRotation="0" wrapText="0" indent="0" justifyLastLine="0" shrinkToFit="0" readingOrder="0"/>
      <protection locked="1" hidden="0"/>
    </dxf>
    <dxf>
      <alignment horizontal="left" vertical="top" textRotation="0" wrapText="1" indent="0" justifyLastLine="0" shrinkToFit="0" readingOrder="0"/>
      <protection locked="0" hidden="0"/>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12"/>
        <color theme="0"/>
        <name val="Calibri"/>
        <family val="2"/>
        <scheme val="minor"/>
      </font>
      <fill>
        <patternFill patternType="solid">
          <fgColor indexed="64"/>
          <bgColor theme="3" tint="-0.499984740745262"/>
        </patternFill>
      </fill>
      <alignment horizontal="center" vertical="bottom" textRotation="0" wrapText="1" indent="0" justifyLastLine="0" shrinkToFit="0" readingOrder="0"/>
      <border diagonalUp="0" diagonalDown="0" outline="0">
        <left style="thin">
          <color indexed="64"/>
        </left>
        <right style="thin">
          <color indexed="64"/>
        </right>
        <top/>
        <bottom/>
      </border>
    </dxf>
    <dxf>
      <protection locked="0" hidden="0"/>
    </dxf>
    <dxf>
      <protection locked="0" hidden="0"/>
    </dxf>
    <dxf>
      <protection locked="0" hidden="0"/>
    </dxf>
    <dxf>
      <protection locked="0" hidden="0"/>
    </dxf>
    <dxf>
      <protection locked="0" hidden="0"/>
    </dxf>
    <dxf>
      <protection locked="0" hidden="0"/>
    </dxf>
    <dxf>
      <protection locked="0" hidden="0"/>
    </dxf>
    <dxf>
      <border outline="0">
        <top style="thin">
          <color indexed="64"/>
        </top>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Calibri"/>
        <family val="2"/>
        <scheme val="minor"/>
      </font>
      <fill>
        <patternFill patternType="solid">
          <fgColor indexed="64"/>
          <bgColor theme="0" tint="-0.14999847407452621"/>
        </patternFill>
      </fill>
      <protection locked="0" hidden="0"/>
    </dxf>
    <dxf>
      <border outline="0">
        <bottom style="thin">
          <color indexed="64"/>
        </bottom>
      </border>
    </dxf>
    <dxf>
      <font>
        <b/>
        <i val="0"/>
        <strike val="0"/>
        <condense val="0"/>
        <extend val="0"/>
        <outline val="0"/>
        <shadow val="0"/>
        <u val="none"/>
        <vertAlign val="baseline"/>
        <sz val="12"/>
        <color theme="0"/>
        <name val="Calibri"/>
        <family val="2"/>
        <scheme val="minor"/>
      </font>
      <fill>
        <patternFill patternType="solid">
          <fgColor indexed="64"/>
          <bgColor theme="3" tint="-0.499984740745262"/>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theme="1"/>
        <name val="Calibri"/>
        <family val="2"/>
        <scheme val="minor"/>
      </font>
      <alignment horizontal="left" vertical="top" textRotation="0" wrapText="0" indent="0" justifyLastLine="0" shrinkToFit="0" readingOrder="0"/>
      <protection locked="1" hidden="0"/>
    </dxf>
    <dxf>
      <font>
        <b val="0"/>
        <i val="0"/>
        <strike val="0"/>
        <condense val="0"/>
        <extend val="0"/>
        <outline val="0"/>
        <shadow val="0"/>
        <u val="none"/>
        <vertAlign val="baseline"/>
        <sz val="12"/>
        <color theme="1"/>
        <name val="Calibri"/>
        <family val="2"/>
        <scheme val="minor"/>
      </font>
      <alignment horizontal="left" vertical="top" textRotation="0" wrapText="0" indent="0" justifyLastLine="0" shrinkToFit="0" readingOrder="0"/>
      <protection locked="1" hidden="0"/>
    </dxf>
    <dxf>
      <numFmt numFmtId="0" formatCode="General"/>
      <protection locked="0" hidden="0"/>
    </dxf>
    <dxf>
      <border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theme="0"/>
        <name val="Calibri"/>
        <family val="2"/>
        <scheme val="minor"/>
      </font>
      <fill>
        <patternFill patternType="solid">
          <fgColor indexed="64"/>
          <bgColor theme="3" tint="-0.499984740745262"/>
        </patternFill>
      </fill>
      <alignment horizontal="center" vertical="bottom" textRotation="0" wrapText="0" indent="0" justifyLastLine="0" shrinkToFit="0" readingOrder="0"/>
    </dxf>
    <dxf>
      <font>
        <b/>
        <i/>
        <strike val="0"/>
        <condense val="0"/>
        <extend val="0"/>
        <outline val="0"/>
        <shadow val="0"/>
        <u val="none"/>
        <vertAlign val="baseline"/>
        <sz val="12"/>
        <color theme="1"/>
        <name val="Calibri"/>
        <family val="2"/>
        <scheme val="minor"/>
      </font>
      <fill>
        <patternFill patternType="solid">
          <fgColor indexed="64"/>
          <bgColor theme="3" tint="0.79998168889431442"/>
        </patternFill>
      </fill>
      <alignment horizontal="general" vertical="center" textRotation="0" wrapText="0" indent="0" justifyLastLine="0" shrinkToFit="0" readingOrder="0"/>
      <border diagonalUp="0" diagonalDown="0">
        <left/>
        <right style="thin">
          <color indexed="64"/>
        </right>
        <top style="thin">
          <color indexed="64"/>
        </top>
        <bottom style="thin">
          <color indexed="64"/>
        </bottom>
        <vertical/>
        <horizontal/>
      </border>
      <protection locked="1" hidden="0"/>
    </dxf>
    <dxf>
      <border outline="0">
        <left style="thin">
          <color indexed="64"/>
        </left>
        <right style="thin">
          <color indexed="64"/>
        </right>
        <top style="thin">
          <color theme="4" tint="0.39997558519241921"/>
        </top>
        <bottom style="thin">
          <color indexed="64"/>
        </bottom>
      </border>
    </dxf>
    <dxf>
      <font>
        <b/>
        <i val="0"/>
        <strike val="0"/>
        <condense val="0"/>
        <extend val="0"/>
        <outline val="0"/>
        <shadow val="0"/>
        <u val="none"/>
        <vertAlign val="baseline"/>
        <sz val="12"/>
        <color theme="0"/>
        <name val="Calibri"/>
        <family val="2"/>
        <scheme val="minor"/>
      </font>
      <fill>
        <patternFill patternType="solid">
          <fgColor indexed="64"/>
          <bgColor theme="3" tint="-0.49998474074526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Calibri"/>
        <family val="2"/>
        <scheme val="minor"/>
      </font>
      <numFmt numFmtId="165" formatCode="_(* #,##0_);_(* \(#,##0\);_(* &quot;-&quot;??_);_(@_)"/>
      <fill>
        <patternFill patternType="solid">
          <fgColor indexed="64"/>
          <bgColor theme="0"/>
        </patternFill>
      </fill>
      <alignment horizontal="general" vertical="center" textRotation="0" wrapText="0" indent="0" justifyLastLine="0" shrinkToFit="0" readingOrder="0"/>
      <border diagonalUp="0" diagonalDown="0">
        <left style="thin">
          <color indexed="64"/>
        </left>
        <right/>
        <top style="thin">
          <color indexed="64"/>
        </top>
        <bottom style="thin">
          <color indexed="64"/>
        </bottom>
        <vertical/>
        <horizontal/>
      </border>
      <protection locked="1" hidden="0"/>
    </dxf>
    <dxf>
      <font>
        <b val="0"/>
        <i val="0"/>
        <strike val="0"/>
        <condense val="0"/>
        <extend val="0"/>
        <outline val="0"/>
        <shadow val="0"/>
        <u val="none"/>
        <vertAlign val="baseline"/>
        <sz val="12"/>
        <color theme="1"/>
        <name val="Calibri"/>
        <family val="2"/>
        <scheme val="minor"/>
      </font>
      <numFmt numFmtId="165" formatCode="_(* #,##0_);_(* \(#,##0\);_(* &quot;-&quot;??_);_(@_)"/>
      <fill>
        <patternFill patternType="solid">
          <fgColor indexed="64"/>
          <bgColor theme="0"/>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2"/>
        <color theme="1"/>
        <name val="Calibri"/>
        <family val="2"/>
        <scheme val="minor"/>
      </font>
      <numFmt numFmtId="165" formatCode="_(* #,##0_);_(* \(#,##0\);_(* &quot;-&quot;??_);_(@_)"/>
      <fill>
        <patternFill patternType="solid">
          <fgColor indexed="64"/>
          <bgColor theme="0"/>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2"/>
        <color theme="1"/>
        <name val="Calibri"/>
        <family val="2"/>
        <scheme val="minor"/>
      </font>
      <numFmt numFmtId="165" formatCode="_(* #,##0_);_(* \(#,##0\);_(* &quot;-&quot;??_);_(@_)"/>
      <fill>
        <patternFill patternType="solid">
          <fgColor indexed="64"/>
          <bgColor theme="0"/>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2"/>
        <color theme="1"/>
        <name val="Calibri"/>
        <family val="2"/>
        <scheme val="minor"/>
      </font>
      <numFmt numFmtId="165" formatCode="_(* #,##0_);_(* \(#,##0\);_(* &quot;-&quot;??_);_(@_)"/>
      <fill>
        <patternFill patternType="solid">
          <fgColor indexed="64"/>
          <bgColor theme="0"/>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2"/>
        <color theme="1"/>
        <name val="Calibri"/>
        <family val="2"/>
        <scheme val="minor"/>
      </font>
      <numFmt numFmtId="165" formatCode="_(* #,##0_);_(* \(#,##0\);_(* &quot;-&quot;??_);_(@_)"/>
      <fill>
        <patternFill patternType="solid">
          <fgColor indexed="64"/>
          <bgColor theme="0"/>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2"/>
        <color theme="1"/>
        <name val="Calibri"/>
        <family val="2"/>
        <scheme val="minor"/>
      </font>
      <numFmt numFmtId="165" formatCode="_(* #,##0_);_(* \(#,##0\);_(* &quot;-&quot;??_);_(@_)"/>
      <fill>
        <patternFill patternType="solid">
          <fgColor indexed="64"/>
          <bgColor theme="0"/>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2"/>
        <color theme="1"/>
        <name val="Calibri"/>
        <family val="2"/>
        <scheme val="minor"/>
      </font>
      <numFmt numFmtId="164" formatCode="_(&quot;$&quot;* #,##0_);_(&quot;$&quot;* \(#,##0\);_(&quot;$&quot;* &quot;-&quot;??_);_(@_)"/>
      <fill>
        <patternFill patternType="solid">
          <fgColor indexed="64"/>
          <bgColor theme="0"/>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border outline="0">
        <top style="thin">
          <color indexed="64"/>
        </top>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Calibri"/>
        <family val="2"/>
        <scheme val="minor"/>
      </font>
      <fill>
        <patternFill patternType="solid">
          <fgColor indexed="64"/>
          <bgColor theme="0"/>
        </patternFill>
      </fill>
      <alignment horizontal="general" vertical="center" textRotation="0" wrapText="0" indent="0" justifyLastLine="0" shrinkToFit="0" readingOrder="0"/>
      <protection locked="1" hidden="0"/>
    </dxf>
    <dxf>
      <border outline="0">
        <bottom style="thin">
          <color indexed="64"/>
        </bottom>
      </border>
    </dxf>
    <dxf>
      <font>
        <b/>
        <i val="0"/>
        <strike val="0"/>
        <condense val="0"/>
        <extend val="0"/>
        <outline val="0"/>
        <shadow val="0"/>
        <u val="none"/>
        <vertAlign val="baseline"/>
        <sz val="12"/>
        <color theme="0"/>
        <name val="Calibri"/>
        <family val="2"/>
        <scheme val="minor"/>
      </font>
      <fill>
        <patternFill patternType="solid">
          <fgColor indexed="64"/>
          <bgColor theme="3" tint="-0.499984740745262"/>
        </patternFill>
      </fill>
      <alignment horizontal="center" vertical="center" textRotation="0" wrapText="0" indent="0" justifyLastLine="0" shrinkToFit="0" readingOrder="0"/>
      <border diagonalUp="0" diagonalDown="0" outline="0">
        <left style="thin">
          <color indexed="64"/>
        </left>
        <right style="thin">
          <color indexed="64"/>
        </right>
        <top/>
        <bottom/>
      </border>
    </dxf>
    <dxf>
      <numFmt numFmtId="164" formatCode="_(&quot;$&quot;* #,##0_);_(&quot;$&quot;* \(#,##0\);_(&quot;$&quot;* &quot;-&quot;??_);_(@_)"/>
      <protection locked="0" hidden="0"/>
    </dxf>
    <dxf>
      <numFmt numFmtId="164" formatCode="_(&quot;$&quot;* #,##0_);_(&quot;$&quot;* \(#,##0\);_(&quot;$&quot;* &quot;-&quot;??_);_(@_)"/>
      <protection locked="0" hidden="0"/>
    </dxf>
    <dxf>
      <numFmt numFmtId="164" formatCode="_(&quot;$&quot;* #,##0_);_(&quot;$&quot;* \(#,##0\);_(&quot;$&quot;* &quot;-&quot;??_);_(@_)"/>
      <protection locked="0" hidden="0"/>
    </dxf>
    <dxf>
      <numFmt numFmtId="164" formatCode="_(&quot;$&quot;* #,##0_);_(&quot;$&quot;* \(#,##0\);_(&quot;$&quot;* &quot;-&quot;??_);_(@_)"/>
      <protection locked="0" hidden="0"/>
    </dxf>
    <dxf>
      <numFmt numFmtId="164" formatCode="_(&quot;$&quot;* #,##0_);_(&quot;$&quot;* \(#,##0\);_(&quot;$&quot;* &quot;-&quot;??_);_(@_)"/>
      <protection locked="0" hidden="0"/>
    </dxf>
    <dxf>
      <numFmt numFmtId="164" formatCode="_(&quot;$&quot;* #,##0_);_(&quot;$&quot;* \(#,##0\);_(&quot;$&quot;* &quot;-&quot;??_);_(@_)"/>
      <protection locked="0" hidden="0"/>
    </dxf>
    <dxf>
      <numFmt numFmtId="164" formatCode="_(&quot;$&quot;* #,##0_);_(&quot;$&quot;* \(#,##0\);_(&quot;$&quot;* &quot;-&quot;??_);_(@_)"/>
      <protection locked="0" hidden="0"/>
    </dxf>
    <dxf>
      <numFmt numFmtId="164" formatCode="_(&quot;$&quot;* #,##0_);_(&quot;$&quot;* \(#,##0\);_(&quot;$&quot;* &quot;-&quot;??_);_(@_)"/>
      <alignment horizontal="general" vertical="bottom" textRotation="0" wrapText="0" indent="0" justifyLastLine="0" shrinkToFit="0" readingOrder="0"/>
      <protection locked="1" hidden="0"/>
    </dxf>
    <dxf>
      <font>
        <b val="0"/>
        <i val="0"/>
        <strike val="0"/>
        <condense val="0"/>
        <extend val="0"/>
        <outline val="0"/>
        <shadow val="0"/>
        <u val="none"/>
        <vertAlign val="baseline"/>
        <sz val="12"/>
        <color theme="1"/>
        <name val="Calibri"/>
        <family val="2"/>
        <scheme val="minor"/>
      </font>
      <alignment horizontal="left" vertical="top" textRotation="0" wrapText="1" indent="0" justifyLastLine="0" shrinkToFit="0" readingOrder="0"/>
      <protection locked="0" hidden="0"/>
    </dxf>
    <dxf>
      <alignment horizontal="left" vertical="top" textRotation="0" wrapText="1" indent="0" justifyLastLine="0" shrinkToFit="0" readingOrder="0"/>
      <protection locked="0" hidden="0"/>
    </dxf>
    <dxf>
      <border outline="0">
        <top style="thin">
          <color indexed="64"/>
        </top>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Calibri"/>
        <family val="2"/>
        <scheme val="minor"/>
      </font>
      <fill>
        <patternFill patternType="solid">
          <fgColor indexed="64"/>
          <bgColor theme="0" tint="-0.14999847407452621"/>
        </patternFill>
      </fill>
      <protection locked="0" hidden="0"/>
    </dxf>
    <dxf>
      <border outline="0">
        <bottom style="thin">
          <color indexed="64"/>
        </bottom>
      </border>
    </dxf>
    <dxf>
      <font>
        <b/>
        <i val="0"/>
        <strike val="0"/>
        <condense val="0"/>
        <extend val="0"/>
        <outline val="0"/>
        <shadow val="0"/>
        <u val="none"/>
        <vertAlign val="baseline"/>
        <sz val="12"/>
        <color theme="0"/>
        <name val="Calibri"/>
        <family val="2"/>
        <scheme val="minor"/>
      </font>
      <fill>
        <patternFill patternType="solid">
          <fgColor indexed="64"/>
          <bgColor theme="3" tint="-0.499984740745262"/>
        </patternFill>
      </fill>
      <alignment horizontal="center" vertical="bottom" textRotation="0" wrapText="1" indent="0" justifyLastLine="0" shrinkToFit="0" readingOrder="0"/>
      <border diagonalUp="0" diagonalDown="0" outline="0">
        <left style="thin">
          <color indexed="64"/>
        </left>
        <right style="thin">
          <color indexed="64"/>
        </right>
        <top/>
        <bottom/>
      </border>
    </dxf>
    <dxf>
      <numFmt numFmtId="164" formatCode="_(&quot;$&quot;* #,##0_);_(&quot;$&quot;* \(#,##0\);_(&quot;$&quot;* &quot;-&quot;??_);_(@_)"/>
      <protection locked="1" hidden="0"/>
    </dxf>
    <dxf>
      <numFmt numFmtId="13" formatCode="0%"/>
      <protection locked="0" hidden="0"/>
    </dxf>
    <dxf>
      <numFmt numFmtId="164" formatCode="_(&quot;$&quot;* #,##0_);_(&quot;$&quot;* \(#,##0\);_(&quot;$&quot;* &quot;-&quot;??_);_(@_)"/>
      <protection locked="0" hidden="0"/>
    </dxf>
    <dxf>
      <numFmt numFmtId="2" formatCode="0.00"/>
      <alignment horizontal="right" vertical="bottom" textRotation="0" wrapText="0" indent="0" justifyLastLine="0" shrinkToFit="0" readingOrder="0"/>
      <protection locked="0" hidden="0"/>
    </dxf>
    <dxf>
      <protection locked="1" hidden="0"/>
    </dxf>
    <dxf>
      <border outline="0">
        <top style="thin">
          <color indexed="64"/>
        </top>
      </border>
    </dxf>
    <dxf>
      <border outline="0">
        <left style="thin">
          <color indexed="64"/>
        </left>
        <top style="thin">
          <color indexed="64"/>
        </top>
        <bottom style="thin">
          <color indexed="64"/>
        </bottom>
      </border>
    </dxf>
    <dxf>
      <border outline="0">
        <bottom style="thin">
          <color theme="4" tint="0.39997558519241921"/>
        </bottom>
      </border>
    </dxf>
    <dxf>
      <font>
        <b/>
        <i val="0"/>
        <strike val="0"/>
        <condense val="0"/>
        <extend val="0"/>
        <outline val="0"/>
        <shadow val="0"/>
        <u val="none"/>
        <vertAlign val="baseline"/>
        <sz val="12"/>
        <color theme="0"/>
        <name val="Calibri"/>
        <family val="2"/>
        <scheme val="minor"/>
      </font>
      <fill>
        <patternFill patternType="solid">
          <fgColor indexed="64"/>
          <bgColor theme="3" tint="-0.499984740745262"/>
        </patternFill>
      </fill>
      <alignment horizontal="center" vertical="bottom" textRotation="0" wrapText="1" indent="0" justifyLastLine="0" shrinkToFit="0" readingOrder="0"/>
    </dxf>
    <dxf>
      <protection locked="0" hidden="0"/>
    </dxf>
    <dxf>
      <protection locked="0" hidden="0"/>
    </dxf>
    <dxf>
      <protection locked="0" hidden="0"/>
    </dxf>
    <dxf>
      <protection locked="0" hidden="0"/>
    </dxf>
    <dxf>
      <protection locked="0" hidden="0"/>
    </dxf>
    <dxf>
      <protection locked="0" hidden="0"/>
    </dxf>
    <dxf>
      <protection locked="0" hidden="0"/>
    </dxf>
    <dxf>
      <numFmt numFmtId="164" formatCode="_(&quot;$&quot;* #,##0_);_(&quot;$&quot;* \(#,##0\);_(&quot;$&quot;* &quot;-&quot;??_);_(@_)"/>
      <protection locked="1" hidden="0"/>
    </dxf>
    <dxf>
      <alignment horizontal="left" vertical="top" textRotation="0" wrapText="1" indent="0" justifyLastLine="0" shrinkToFit="0" readingOrder="0"/>
      <protection locked="0" hidden="0"/>
    </dxf>
    <dxf>
      <border outline="0">
        <left style="thin">
          <color indexed="64"/>
        </left>
        <bottom style="thin">
          <color indexed="64"/>
        </bottom>
      </border>
    </dxf>
    <dxf>
      <font>
        <b val="0"/>
        <i val="0"/>
        <strike val="0"/>
        <condense val="0"/>
        <extend val="0"/>
        <outline val="0"/>
        <shadow val="0"/>
        <u val="none"/>
        <vertAlign val="baseline"/>
        <sz val="12"/>
        <color theme="1"/>
        <name val="Calibri"/>
        <family val="2"/>
        <scheme val="minor"/>
      </font>
      <fill>
        <patternFill patternType="solid">
          <fgColor indexed="64"/>
          <bgColor theme="0" tint="-0.14999847407452621"/>
        </patternFill>
      </fill>
      <protection locked="0" hidden="0"/>
    </dxf>
    <dxf>
      <font>
        <b/>
        <i val="0"/>
        <strike val="0"/>
        <condense val="0"/>
        <extend val="0"/>
        <outline val="0"/>
        <shadow val="0"/>
        <u val="none"/>
        <vertAlign val="baseline"/>
        <sz val="12"/>
        <color theme="0"/>
        <name val="Calibri"/>
        <family val="2"/>
        <scheme val="minor"/>
      </font>
      <fill>
        <patternFill patternType="solid">
          <fgColor indexed="64"/>
          <bgColor theme="3" tint="-0.499984740745262"/>
        </patternFill>
      </fill>
      <alignment horizontal="center" vertical="bottom" textRotation="0" wrapText="1" indent="0" justifyLastLine="0" shrinkToFit="0" readingOrder="0"/>
    </dxf>
    <dxf>
      <font>
        <b val="0"/>
        <i val="0"/>
        <strike val="0"/>
        <condense val="0"/>
        <extend val="0"/>
        <outline val="0"/>
        <shadow val="0"/>
        <u val="none"/>
        <vertAlign val="baseline"/>
        <sz val="12"/>
        <color theme="1"/>
        <name val="Calibri"/>
        <family val="2"/>
        <scheme val="minor"/>
      </font>
      <alignment horizontal="general" vertical="top" textRotation="0" wrapText="1" indent="0" justifyLastLine="0" shrinkToFit="0" readingOrder="0"/>
      <protection locked="1" hidden="0"/>
    </dxf>
    <dxf>
      <font>
        <b val="0"/>
        <i val="0"/>
        <strike val="0"/>
        <condense val="0"/>
        <extend val="0"/>
        <outline val="0"/>
        <shadow val="0"/>
        <u val="none"/>
        <vertAlign val="baseline"/>
        <sz val="12"/>
        <color theme="1"/>
        <name val="Calibri"/>
        <family val="2"/>
        <scheme val="minor"/>
      </font>
      <alignment horizontal="general" vertical="top" textRotation="0" wrapText="1" indent="0" justifyLastLine="0" shrinkToFit="0" readingOrder="0"/>
      <protection locked="1" hidden="0"/>
    </dxf>
    <dxf>
      <alignment horizontal="general" vertical="top" textRotation="0" wrapText="0" indent="0" justifyLastLine="0" shrinkToFit="0" readingOrder="0"/>
      <protection locked="0" hidden="0"/>
    </dxf>
    <dxf>
      <border outline="0">
        <left style="thin">
          <color indexed="64"/>
        </left>
        <right style="thin">
          <color indexed="64"/>
        </right>
        <top style="thin">
          <color indexed="64"/>
        </top>
        <bottom style="thin">
          <color indexed="64"/>
        </bottom>
      </border>
    </dxf>
    <dxf>
      <alignment horizontal="center" vertical="center" textRotation="0" indent="0" justifyLastLine="0" shrinkToFit="0" readingOrder="0"/>
    </dxf>
    <dxf>
      <border outline="0">
        <left style="thin">
          <color indexed="64"/>
        </left>
        <right style="thin">
          <color indexed="64"/>
        </right>
        <top style="thin">
          <color theme="4" tint="0.39997558519241921"/>
        </top>
        <bottom style="thin">
          <color indexed="64"/>
        </bottom>
      </border>
    </dxf>
    <dxf>
      <font>
        <b/>
        <i val="0"/>
        <strike val="0"/>
        <condense val="0"/>
        <extend val="0"/>
        <outline val="0"/>
        <shadow val="0"/>
        <u val="none"/>
        <vertAlign val="baseline"/>
        <sz val="12"/>
        <color theme="0"/>
        <name val="Calibri"/>
        <family val="2"/>
        <scheme val="minor"/>
      </font>
      <fill>
        <patternFill patternType="solid">
          <fgColor indexed="64"/>
          <bgColor theme="3" tint="-0.499984740745262"/>
        </patternFill>
      </fill>
      <alignment horizontal="center" vertical="center" textRotation="0" wrapText="0" indent="0" justifyLastLine="0" shrinkToFit="0" readingOrder="0"/>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12"/>
        <color theme="0"/>
        <name val="Calibri"/>
        <family val="2"/>
        <scheme val="minor"/>
      </font>
      <fill>
        <patternFill patternType="solid">
          <fgColor indexed="64"/>
          <bgColor theme="3" tint="-0.499984740745262"/>
        </patternFill>
      </fill>
      <alignment horizontal="center" vertical="center" textRotation="0" wrapText="0" indent="0" justifyLastLine="0" shrinkToFit="0" readingOrder="0"/>
      <border diagonalUp="0" diagonalDown="0" outline="0">
        <left style="thin">
          <color indexed="64"/>
        </left>
        <right style="thin">
          <color indexed="64"/>
        </right>
        <top/>
        <bottom/>
      </border>
    </dxf>
    <dxf>
      <numFmt numFmtId="33" formatCode="_(* #,##0_);_(* \(#,##0\);_(* &quot;-&quot;_);_(@_)"/>
      <protection locked="0" hidden="0"/>
    </dxf>
    <dxf>
      <numFmt numFmtId="33" formatCode="_(* #,##0_);_(* \(#,##0\);_(* &quot;-&quot;_);_(@_)"/>
      <protection locked="0" hidden="0"/>
    </dxf>
    <dxf>
      <numFmt numFmtId="33" formatCode="_(* #,##0_);_(* \(#,##0\);_(* &quot;-&quot;_);_(@_)"/>
      <protection locked="0" hidden="0"/>
    </dxf>
    <dxf>
      <numFmt numFmtId="33" formatCode="_(* #,##0_);_(* \(#,##0\);_(* &quot;-&quot;_);_(@_)"/>
      <protection locked="0" hidden="0"/>
    </dxf>
    <dxf>
      <numFmt numFmtId="33" formatCode="_(* #,##0_);_(* \(#,##0\);_(* &quot;-&quot;_);_(@_)"/>
      <protection locked="0" hidden="0"/>
    </dxf>
    <dxf>
      <numFmt numFmtId="33" formatCode="_(* #,##0_);_(* \(#,##0\);_(* &quot;-&quot;_);_(@_)"/>
      <protection locked="0" hidden="0"/>
    </dxf>
    <dxf>
      <numFmt numFmtId="33" formatCode="_(* #,##0_);_(* \(#,##0\);_(* &quot;-&quot;_);_(@_)"/>
      <protection locked="0" hidden="0"/>
    </dxf>
    <dxf>
      <numFmt numFmtId="164" formatCode="_(&quot;$&quot;* #,##0_);_(&quot;$&quot;* \(#,##0\);_(&quot;$&quot;* &quot;-&quot;??_);_(@_)"/>
      <alignment horizontal="general" vertical="bottom" textRotation="0" wrapText="0" indent="0" justifyLastLine="0" shrinkToFit="0" readingOrder="0"/>
      <protection locked="0" hidden="0"/>
    </dxf>
    <dxf>
      <font>
        <b val="0"/>
        <i val="0"/>
        <strike val="0"/>
        <condense val="0"/>
        <extend val="0"/>
        <outline val="0"/>
        <shadow val="0"/>
        <u val="none"/>
        <vertAlign val="baseline"/>
        <sz val="12"/>
        <color theme="1"/>
        <name val="Calibri"/>
        <family val="2"/>
        <scheme val="minor"/>
      </font>
      <alignment horizontal="left" vertical="top" textRotation="0" wrapText="1" indent="0" justifyLastLine="0" shrinkToFit="0" readingOrder="0"/>
      <protection locked="0" hidden="0"/>
    </dxf>
    <dxf>
      <alignment horizontal="left" vertical="top" textRotation="0" wrapText="1" indent="0" justifyLastLine="0" shrinkToFit="0" readingOrder="0"/>
      <protection locked="0" hidden="0"/>
    </dxf>
    <dxf>
      <border outline="0">
        <right style="thin">
          <color indexed="64"/>
        </right>
        <bottom style="thin">
          <color indexed="64"/>
        </bottom>
      </border>
    </dxf>
    <dxf>
      <font>
        <b val="0"/>
        <i val="0"/>
        <strike val="0"/>
        <condense val="0"/>
        <extend val="0"/>
        <outline val="0"/>
        <shadow val="0"/>
        <u val="none"/>
        <vertAlign val="baseline"/>
        <sz val="12"/>
        <color theme="1"/>
        <name val="Calibri"/>
        <family val="2"/>
        <scheme val="minor"/>
      </font>
      <fill>
        <patternFill patternType="solid">
          <fgColor indexed="64"/>
          <bgColor theme="0" tint="-0.14999847407452621"/>
        </patternFill>
      </fill>
      <protection locked="0" hidden="0"/>
    </dxf>
    <dxf>
      <font>
        <b/>
        <i val="0"/>
        <strike val="0"/>
        <condense val="0"/>
        <extend val="0"/>
        <outline val="0"/>
        <shadow val="0"/>
        <u val="none"/>
        <vertAlign val="baseline"/>
        <sz val="12"/>
        <color theme="0"/>
        <name val="Calibri"/>
        <family val="2"/>
        <scheme val="minor"/>
      </font>
      <fill>
        <patternFill patternType="solid">
          <fgColor indexed="64"/>
          <bgColor theme="3" tint="-0.499984740745262"/>
        </patternFill>
      </fill>
      <alignment horizontal="center" vertical="bottom" textRotation="0" wrapText="1" indent="0" justifyLastLine="0" shrinkToFit="0" readingOrder="0"/>
      <border diagonalUp="0" diagonalDown="0" outline="0">
        <left style="thin">
          <color indexed="64"/>
        </left>
        <right style="thin">
          <color indexed="64"/>
        </right>
        <top/>
        <bottom/>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12"/>
        <color theme="0"/>
        <name val="Calibri"/>
        <family val="2"/>
        <scheme val="minor"/>
      </font>
      <fill>
        <patternFill patternType="solid">
          <fgColor indexed="64"/>
          <bgColor theme="3" tint="-0.499984740745262"/>
        </patternFill>
      </fill>
      <alignment horizontal="center" vertical="bottom" textRotation="0" wrapText="1" indent="0" justifyLastLine="0" shrinkToFit="0" readingOrder="0"/>
      <border diagonalUp="0" diagonalDown="0" outline="0">
        <left style="thin">
          <color indexed="64"/>
        </left>
        <right style="thin">
          <color indexed="64"/>
        </right>
        <top/>
        <bottom/>
      </border>
    </dxf>
    <dxf>
      <protection locked="0" hidden="0"/>
    </dxf>
    <dxf>
      <protection locked="0" hidden="0"/>
    </dxf>
    <dxf>
      <protection locked="0" hidden="0"/>
    </dxf>
    <dxf>
      <protection locked="0" hidden="0"/>
    </dxf>
    <dxf>
      <protection locked="0" hidden="0"/>
    </dxf>
    <dxf>
      <protection locked="0" hidden="0"/>
    </dxf>
    <dxf>
      <protection locked="0" hidden="0"/>
    </dxf>
    <dxf>
      <numFmt numFmtId="164" formatCode="_(&quot;$&quot;* #,##0_);_(&quot;$&quot;* \(#,##0\);_(&quot;$&quot;* &quot;-&quot;??_);_(@_)"/>
      <alignment horizontal="general" vertical="bottom" textRotation="0" wrapText="1" indent="0" justifyLastLine="0" shrinkToFit="0" readingOrder="0"/>
      <protection locked="1" hidden="0"/>
    </dxf>
    <dxf>
      <font>
        <b val="0"/>
        <i val="0"/>
        <strike val="0"/>
        <condense val="0"/>
        <extend val="0"/>
        <outline val="0"/>
        <shadow val="0"/>
        <u val="none"/>
        <vertAlign val="baseline"/>
        <sz val="12"/>
        <color theme="1"/>
        <name val="Calibri"/>
        <family val="2"/>
        <scheme val="minor"/>
      </font>
      <alignment horizontal="left" vertical="top" textRotation="0" wrapText="1" indent="0" justifyLastLine="0" shrinkToFit="0" readingOrder="0"/>
      <protection locked="0" hidden="0"/>
    </dxf>
    <dxf>
      <border outline="0">
        <top style="thin">
          <color theme="4" tint="0.39997558519241921"/>
        </top>
        <bottom style="thin">
          <color indexed="64"/>
        </bottom>
      </border>
    </dxf>
    <dxf>
      <font>
        <b val="0"/>
        <i val="0"/>
        <strike val="0"/>
        <condense val="0"/>
        <extend val="0"/>
        <outline val="0"/>
        <shadow val="0"/>
        <u val="none"/>
        <vertAlign val="baseline"/>
        <sz val="12"/>
        <color theme="1"/>
        <name val="Calibri"/>
        <family val="2"/>
        <scheme val="minor"/>
      </font>
      <fill>
        <patternFill patternType="solid">
          <fgColor indexed="64"/>
          <bgColor theme="0" tint="-0.14999847407452621"/>
        </patternFill>
      </fill>
      <protection locked="0" hidden="0"/>
    </dxf>
    <dxf>
      <font>
        <b/>
        <i val="0"/>
        <strike val="0"/>
        <condense val="0"/>
        <extend val="0"/>
        <outline val="0"/>
        <shadow val="0"/>
        <u val="none"/>
        <vertAlign val="baseline"/>
        <sz val="12"/>
        <color theme="0"/>
        <name val="Calibri"/>
        <family val="2"/>
        <scheme val="minor"/>
      </font>
      <fill>
        <patternFill patternType="solid">
          <fgColor indexed="64"/>
          <bgColor theme="3" tint="-0.499984740745262"/>
        </patternFill>
      </fill>
      <alignment horizontal="center" vertical="bottom" textRotation="0" wrapText="1" indent="0" justifyLastLine="0" shrinkToFit="0" readingOrder="0"/>
    </dxf>
    <dxf>
      <font>
        <b val="0"/>
        <i val="0"/>
        <strike val="0"/>
        <condense val="0"/>
        <extend val="0"/>
        <outline val="0"/>
        <shadow val="0"/>
        <u val="none"/>
        <vertAlign val="baseline"/>
        <sz val="12"/>
        <color theme="1"/>
        <name val="Calibri"/>
        <family val="2"/>
        <scheme val="minor"/>
      </font>
      <numFmt numFmtId="0" formatCode="General"/>
      <alignment horizontal="left" vertical="top" textRotation="0" wrapText="1" indent="0" justifyLastLine="0" shrinkToFit="0" readingOrder="0"/>
      <protection locked="0" hidden="0"/>
    </dxf>
    <dxf>
      <font>
        <b val="0"/>
        <i val="0"/>
        <strike val="0"/>
        <condense val="0"/>
        <extend val="0"/>
        <outline val="0"/>
        <shadow val="0"/>
        <u val="none"/>
        <vertAlign val="baseline"/>
        <sz val="12"/>
        <color theme="1"/>
        <name val="Calibri"/>
        <family val="2"/>
        <scheme val="minor"/>
      </font>
      <numFmt numFmtId="0" formatCode="General"/>
      <alignment horizontal="left" vertical="top" textRotation="0" wrapText="1" indent="0" justifyLastLine="0" shrinkToFit="0" readingOrder="0"/>
      <protection locked="0" hidden="0"/>
    </dxf>
    <dxf>
      <border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theme="0"/>
        <name val="Calibri"/>
        <family val="2"/>
        <scheme val="minor"/>
      </font>
      <fill>
        <patternFill patternType="solid">
          <fgColor indexed="64"/>
          <bgColor theme="3" tint="-0.499984740745262"/>
        </patternFill>
      </fill>
      <alignment horizontal="center" vertical="bottom" textRotation="0" wrapText="0" indent="0" justifyLastLine="0" shrinkToFit="0" readingOrder="0"/>
    </dxf>
    <dxf>
      <font>
        <b/>
        <i/>
        <strike val="0"/>
        <condense val="0"/>
        <extend val="0"/>
        <outline val="0"/>
        <shadow val="0"/>
        <u val="none"/>
        <vertAlign val="baseline"/>
        <sz val="12"/>
        <color theme="1"/>
        <name val="Calibri"/>
        <family val="2"/>
        <scheme val="minor"/>
      </font>
      <fill>
        <patternFill patternType="solid">
          <fgColor indexed="64"/>
          <bgColor theme="3" tint="0.79998168889431442"/>
        </patternFill>
      </fill>
      <alignment horizontal="general" vertical="center" textRotation="0" wrapText="0" indent="0" justifyLastLine="0" shrinkToFit="0" readingOrder="0"/>
      <border diagonalUp="0" diagonalDown="0">
        <left/>
        <right style="thin">
          <color indexed="64"/>
        </right>
        <top style="thin">
          <color indexed="64"/>
        </top>
        <bottom style="thin">
          <color indexed="64"/>
        </bottom>
        <vertical/>
        <horizontal/>
      </border>
      <protection locked="1" hidden="0"/>
    </dxf>
    <dxf>
      <border outline="0">
        <left style="thin">
          <color indexed="64"/>
        </left>
        <right style="thin">
          <color indexed="64"/>
        </right>
        <top style="thin">
          <color theme="4" tint="0.39997558519241921"/>
        </top>
        <bottom style="thin">
          <color indexed="64"/>
        </bottom>
      </border>
    </dxf>
    <dxf>
      <font>
        <b/>
        <i val="0"/>
        <strike val="0"/>
        <condense val="0"/>
        <extend val="0"/>
        <outline val="0"/>
        <shadow val="0"/>
        <u val="none"/>
        <vertAlign val="baseline"/>
        <sz val="12"/>
        <color theme="0"/>
        <name val="Calibri"/>
        <family val="2"/>
        <scheme val="minor"/>
      </font>
      <fill>
        <patternFill patternType="solid">
          <fgColor indexed="64"/>
          <bgColor theme="3" tint="-0.49998474074526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Calibri"/>
        <family val="2"/>
        <scheme val="minor"/>
      </font>
      <numFmt numFmtId="164" formatCode="_(&quot;$&quot;* #,##0_);_(&quot;$&quot;* \(#,##0\);_(&quot;$&quot;* &quot;-&quot;??_);_(@_)"/>
      <fill>
        <patternFill patternType="none">
          <fgColor indexed="64"/>
          <bgColor indexed="65"/>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2"/>
        <color theme="1"/>
        <name val="Calibri"/>
        <family val="2"/>
        <scheme val="minor"/>
      </font>
      <fill>
        <patternFill patternType="none">
          <fgColor indexed="64"/>
          <bgColor indexed="65"/>
        </patternFill>
      </fill>
      <alignment horizontal="general" vertical="bottom" textRotation="0" wrapText="1" indent="0" justifyLastLine="0" shrinkToFit="0" readingOrder="0"/>
      <border diagonalUp="0" diagonalDown="0">
        <left/>
        <right style="thin">
          <color indexed="64"/>
        </right>
        <top style="thin">
          <color indexed="64"/>
        </top>
        <bottom style="thin">
          <color indexed="64"/>
        </bottom>
        <vertical/>
        <horizontal/>
      </border>
      <protection locked="1" hidden="0"/>
    </dxf>
    <dxf>
      <border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theme="0"/>
        <name val="Calibri"/>
        <family val="2"/>
        <scheme val="minor"/>
      </font>
      <fill>
        <patternFill patternType="solid">
          <fgColor indexed="64"/>
          <bgColor theme="3" tint="-0.499984740745262"/>
        </patternFill>
      </fill>
      <alignment horizontal="center" vertical="center" textRotation="0" wrapText="0" indent="0" justifyLastLine="0" shrinkToFit="0" readingOrder="0"/>
    </dxf>
    <dxf>
      <numFmt numFmtId="164" formatCode="_(&quot;$&quot;* #,##0_);_(&quot;$&quot;* \(#,##0\);_(&quot;$&quot;* &quot;-&quot;??_);_(@_)"/>
      <alignment horizontal="general" vertical="top" textRotation="0" wrapText="0" indent="0" justifyLastLine="0" shrinkToFit="0" readingOrder="0"/>
      <protection locked="0" hidden="0"/>
    </dxf>
    <dxf>
      <numFmt numFmtId="164" formatCode="_(&quot;$&quot;* #,##0_);_(&quot;$&quot;* \(#,##0\);_(&quot;$&quot;* &quot;-&quot;??_);_(@_)"/>
      <alignment horizontal="general" vertical="top" textRotation="0" wrapText="0" indent="0" justifyLastLine="0" shrinkToFit="0" readingOrder="0"/>
      <protection locked="0" hidden="0"/>
    </dxf>
    <dxf>
      <numFmt numFmtId="164" formatCode="_(&quot;$&quot;* #,##0_);_(&quot;$&quot;* \(#,##0\);_(&quot;$&quot;* &quot;-&quot;??_);_(@_)"/>
      <alignment horizontal="general" vertical="top" textRotation="0" wrapText="0" indent="0" justifyLastLine="0" shrinkToFit="0" readingOrder="0"/>
      <protection locked="0" hidden="0"/>
    </dxf>
    <dxf>
      <numFmt numFmtId="164" formatCode="_(&quot;$&quot;* #,##0_);_(&quot;$&quot;* \(#,##0\);_(&quot;$&quot;* &quot;-&quot;??_);_(@_)"/>
      <alignment horizontal="general" vertical="top" textRotation="0" wrapText="0" indent="0" justifyLastLine="0" shrinkToFit="0" readingOrder="0"/>
      <protection locked="0" hidden="0"/>
    </dxf>
    <dxf>
      <numFmt numFmtId="164" formatCode="_(&quot;$&quot;* #,##0_);_(&quot;$&quot;* \(#,##0\);_(&quot;$&quot;* &quot;-&quot;??_);_(@_)"/>
      <alignment horizontal="general" vertical="top" textRotation="0" wrapText="0" indent="0" justifyLastLine="0" shrinkToFit="0" readingOrder="0"/>
      <protection locked="0" hidden="0"/>
    </dxf>
    <dxf>
      <numFmt numFmtId="164" formatCode="_(&quot;$&quot;* #,##0_);_(&quot;$&quot;* \(#,##0\);_(&quot;$&quot;* &quot;-&quot;??_);_(@_)"/>
      <alignment horizontal="general" vertical="top" textRotation="0" wrapText="0" indent="0" justifyLastLine="0" shrinkToFit="0" readingOrder="0"/>
      <protection locked="0" hidden="0"/>
    </dxf>
    <dxf>
      <numFmt numFmtId="164" formatCode="_(&quot;$&quot;* #,##0_);_(&quot;$&quot;* \(#,##0\);_(&quot;$&quot;* &quot;-&quot;??_);_(@_)"/>
      <alignment horizontal="general" vertical="top" textRotation="0" wrapText="0" indent="0" justifyLastLine="0" shrinkToFit="0" readingOrder="0"/>
      <protection locked="0" hidden="0"/>
    </dxf>
    <dxf>
      <numFmt numFmtId="164" formatCode="_(&quot;$&quot;* #,##0_);_(&quot;$&quot;* \(#,##0\);_(&quot;$&quot;* &quot;-&quot;??_);_(@_)"/>
      <alignment horizontal="general" vertical="top" textRotation="0" wrapText="0" indent="0" justifyLastLine="0" shrinkToFit="0" readingOrder="0"/>
      <protection locked="1" hidden="0"/>
    </dxf>
    <dxf>
      <font>
        <b val="0"/>
        <i val="0"/>
        <strike val="0"/>
        <condense val="0"/>
        <extend val="0"/>
        <outline val="0"/>
        <shadow val="0"/>
        <u val="none"/>
        <vertAlign val="baseline"/>
        <sz val="12"/>
        <color theme="1"/>
        <name val="Calibri"/>
        <family val="2"/>
        <scheme val="minor"/>
      </font>
      <alignment horizontal="general" vertical="top" textRotation="0" wrapText="1" indent="0" justifyLastLine="0" shrinkToFit="0" readingOrder="0"/>
      <protection locked="0" hidden="0"/>
    </dxf>
    <dxf>
      <alignment horizontal="general" vertical="top" textRotation="0" wrapText="1" indent="0" justifyLastLine="0" shrinkToFit="0" readingOrder="0"/>
      <protection locked="0" hidden="0"/>
    </dxf>
    <dxf>
      <border outline="0">
        <top style="thin">
          <color indexed="64"/>
        </top>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Calibri"/>
        <family val="2"/>
        <scheme val="minor"/>
      </font>
      <fill>
        <patternFill patternType="solid">
          <fgColor indexed="64"/>
          <bgColor theme="0" tint="-0.14999847407452621"/>
        </patternFill>
      </fill>
      <alignment horizontal="general" vertical="top" textRotation="0" wrapText="0" indent="0" justifyLastLine="0" shrinkToFit="0" readingOrder="0"/>
      <protection locked="0" hidden="0"/>
    </dxf>
    <dxf>
      <border outline="0">
        <bottom style="thin">
          <color indexed="64"/>
        </bottom>
      </border>
    </dxf>
    <dxf>
      <font>
        <b/>
        <i val="0"/>
        <strike val="0"/>
        <condense val="0"/>
        <extend val="0"/>
        <outline val="0"/>
        <shadow val="0"/>
        <u val="none"/>
        <vertAlign val="baseline"/>
        <sz val="12"/>
        <color theme="0"/>
        <name val="Calibri"/>
        <family val="2"/>
        <scheme val="minor"/>
      </font>
      <fill>
        <patternFill patternType="solid">
          <fgColor indexed="64"/>
          <bgColor theme="3" tint="-0.499984740745262"/>
        </patternFill>
      </fill>
      <alignment horizontal="center" vertical="bottom" textRotation="0" wrapText="1" indent="0" justifyLastLine="0" shrinkToFit="0" readingOrder="0"/>
      <border diagonalUp="0" diagonalDown="0" outline="0">
        <left style="thin">
          <color indexed="64"/>
        </left>
        <right style="thin">
          <color indexed="64"/>
        </right>
        <top/>
        <bottom/>
      </border>
    </dxf>
    <dxf>
      <numFmt numFmtId="164" formatCode="_(&quot;$&quot;* #,##0_);_(&quot;$&quot;* \(#,##0\);_(&quot;$&quot;* &quot;-&quot;??_);_(@_)"/>
      <alignment horizontal="general" vertical="top" textRotation="0" wrapText="0" indent="0" justifyLastLine="0" shrinkToFit="0" readingOrder="0"/>
      <protection locked="1" hidden="0"/>
    </dxf>
    <dxf>
      <numFmt numFmtId="13" formatCode="0%"/>
      <alignment horizontal="general" vertical="top" textRotation="0" wrapText="0" indent="0" justifyLastLine="0" shrinkToFit="0" readingOrder="0"/>
      <protection locked="0" hidden="0"/>
    </dxf>
    <dxf>
      <numFmt numFmtId="164" formatCode="_(&quot;$&quot;* #,##0_);_(&quot;$&quot;* \(#,##0\);_(&quot;$&quot;* &quot;-&quot;??_);_(@_)"/>
      <alignment horizontal="general" vertical="top" textRotation="0" wrapText="0" indent="0" justifyLastLine="0" shrinkToFit="0" readingOrder="0"/>
      <protection locked="0" hidden="0"/>
    </dxf>
    <dxf>
      <numFmt numFmtId="2" formatCode="0.00"/>
      <alignment horizontal="general" vertical="top" textRotation="0" wrapText="0" indent="0" justifyLastLine="0" shrinkToFit="0" readingOrder="0"/>
      <protection locked="0" hidden="0"/>
    </dxf>
    <dxf>
      <numFmt numFmtId="2" formatCode="0.00"/>
      <alignment horizontal="general" vertical="top" textRotation="0" wrapText="0" indent="0" justifyLastLine="0" shrinkToFit="0" readingOrder="0"/>
      <protection locked="0" hidden="0"/>
    </dxf>
    <dxf>
      <alignment horizontal="general" vertical="top" textRotation="0" wrapText="1" indent="0" justifyLastLine="0" shrinkToFit="0" readingOrder="0"/>
      <protection locked="0" hidden="0"/>
    </dxf>
    <dxf>
      <border outline="0">
        <top style="thin">
          <color indexed="64"/>
        </top>
      </border>
    </dxf>
    <dxf>
      <border outline="0">
        <left style="thin">
          <color indexed="64"/>
        </left>
        <top style="thin">
          <color indexed="64"/>
        </top>
        <bottom style="thin">
          <color indexed="64"/>
        </bottom>
      </border>
    </dxf>
    <dxf>
      <font>
        <b val="0"/>
        <i val="0"/>
        <strike val="0"/>
        <condense val="0"/>
        <extend val="0"/>
        <outline val="0"/>
        <shadow val="0"/>
        <u val="none"/>
        <vertAlign val="baseline"/>
        <sz val="12"/>
        <color theme="1"/>
        <name val="Calibri"/>
        <family val="2"/>
        <scheme val="minor"/>
      </font>
      <fill>
        <patternFill patternType="solid">
          <fgColor indexed="64"/>
          <bgColor theme="0" tint="-0.14999847407452621"/>
        </patternFill>
      </fill>
      <alignment horizontal="general" vertical="top" textRotation="0" wrapText="0" indent="0" justifyLastLine="0" shrinkToFit="0" readingOrder="0"/>
      <protection locked="0" hidden="0"/>
    </dxf>
    <dxf>
      <border outline="0">
        <bottom style="thin">
          <color theme="4" tint="0.39997558519241921"/>
        </bottom>
      </border>
    </dxf>
    <dxf>
      <font>
        <b/>
        <i val="0"/>
        <strike val="0"/>
        <condense val="0"/>
        <extend val="0"/>
        <outline val="0"/>
        <shadow val="0"/>
        <u val="none"/>
        <vertAlign val="baseline"/>
        <sz val="12"/>
        <color theme="0"/>
        <name val="Calibri"/>
        <family val="2"/>
        <scheme val="minor"/>
      </font>
      <fill>
        <patternFill patternType="solid">
          <fgColor indexed="64"/>
          <bgColor theme="3" tint="-0.499984740745262"/>
        </patternFill>
      </fill>
      <alignment horizontal="center" vertical="bottom" textRotation="0" wrapText="1" indent="0" justifyLastLine="0" shrinkToFit="0" readingOrder="0"/>
    </dxf>
    <dxf>
      <alignment horizontal="right" vertical="top" textRotation="0" wrapText="0" indent="0" justifyLastLine="0" shrinkToFit="0" readingOrder="0"/>
      <protection locked="0" hidden="0"/>
    </dxf>
    <dxf>
      <alignment horizontal="right" vertical="top" textRotation="0" wrapText="0" indent="0" justifyLastLine="0" shrinkToFit="0" readingOrder="0"/>
      <protection locked="0" hidden="0"/>
    </dxf>
    <dxf>
      <alignment horizontal="right" vertical="top" textRotation="0" wrapText="0" indent="0" justifyLastLine="0" shrinkToFit="0" readingOrder="0"/>
      <protection locked="0" hidden="0"/>
    </dxf>
    <dxf>
      <alignment horizontal="right" vertical="top" textRotation="0" wrapText="0" indent="0" justifyLastLine="0" shrinkToFit="0" readingOrder="0"/>
      <protection locked="0" hidden="0"/>
    </dxf>
    <dxf>
      <alignment horizontal="right" vertical="top" textRotation="0" wrapText="0" indent="0" justifyLastLine="0" shrinkToFit="0" readingOrder="0"/>
      <protection locked="0" hidden="0"/>
    </dxf>
    <dxf>
      <alignment horizontal="right" vertical="top" textRotation="0" wrapText="0" indent="0" justifyLastLine="0" shrinkToFit="0" readingOrder="0"/>
      <protection locked="0" hidden="0"/>
    </dxf>
    <dxf>
      <alignment horizontal="right" vertical="top" textRotation="0" wrapText="0" indent="0" justifyLastLine="0" shrinkToFit="0" readingOrder="0"/>
      <protection locked="0" hidden="0"/>
    </dxf>
    <dxf>
      <numFmt numFmtId="164" formatCode="_(&quot;$&quot;* #,##0_);_(&quot;$&quot;* \(#,##0\);_(&quot;$&quot;* &quot;-&quot;??_);_(@_)"/>
      <alignment horizontal="right" vertical="top" textRotation="0" wrapText="1" indent="0" justifyLastLine="0" shrinkToFit="0" readingOrder="0"/>
      <protection locked="1" hidden="0"/>
    </dxf>
    <dxf>
      <font>
        <b val="0"/>
        <i val="0"/>
        <strike val="0"/>
        <condense val="0"/>
        <extend val="0"/>
        <outline val="0"/>
        <shadow val="0"/>
        <u val="none"/>
        <vertAlign val="baseline"/>
        <sz val="12"/>
        <color theme="1"/>
        <name val="Calibri"/>
        <family val="2"/>
        <scheme val="minor"/>
      </font>
      <alignment horizontal="general" vertical="top" textRotation="0" wrapText="1" indent="0" justifyLastLine="0" shrinkToFit="0" readingOrder="0"/>
      <protection locked="0" hidden="0"/>
    </dxf>
    <dxf>
      <border outline="0">
        <left style="thin">
          <color indexed="64"/>
        </left>
        <bottom style="thin">
          <color indexed="64"/>
        </bottom>
      </border>
    </dxf>
    <dxf>
      <font>
        <b val="0"/>
        <i val="0"/>
        <strike val="0"/>
        <condense val="0"/>
        <extend val="0"/>
        <outline val="0"/>
        <shadow val="0"/>
        <u val="none"/>
        <vertAlign val="baseline"/>
        <sz val="12"/>
        <color theme="1"/>
        <name val="Calibri"/>
        <family val="2"/>
        <scheme val="minor"/>
      </font>
      <fill>
        <patternFill patternType="solid">
          <fgColor indexed="64"/>
          <bgColor theme="0" tint="-0.14999847407452621"/>
        </patternFill>
      </fill>
      <alignment horizontal="right" vertical="top" textRotation="0" wrapText="0" indent="0" justifyLastLine="0" shrinkToFit="0" readingOrder="0"/>
      <protection locked="0" hidden="0"/>
    </dxf>
    <dxf>
      <font>
        <b/>
        <i val="0"/>
        <strike val="0"/>
        <condense val="0"/>
        <extend val="0"/>
        <outline val="0"/>
        <shadow val="0"/>
        <u val="none"/>
        <vertAlign val="baseline"/>
        <sz val="12"/>
        <color theme="0"/>
        <name val="Calibri"/>
        <family val="2"/>
        <scheme val="minor"/>
      </font>
      <fill>
        <patternFill patternType="solid">
          <fgColor indexed="64"/>
          <bgColor theme="3" tint="-0.499984740745262"/>
        </patternFill>
      </fill>
      <alignment horizontal="center" vertical="bottom" textRotation="0" wrapText="1" indent="0" justifyLastLine="0" shrinkToFit="0" readingOrder="0"/>
    </dxf>
    <dxf>
      <font>
        <b val="0"/>
        <i val="0"/>
        <strike val="0"/>
        <condense val="0"/>
        <extend val="0"/>
        <outline val="0"/>
        <shadow val="0"/>
        <u val="none"/>
        <vertAlign val="baseline"/>
        <sz val="12"/>
        <color rgb="FF000000"/>
        <name val="Calibri"/>
        <family val="2"/>
        <scheme val="minor"/>
      </font>
      <alignment horizontal="general" vertical="top" textRotation="0" wrapText="1" indent="0" justifyLastLine="0" shrinkToFit="0" readingOrder="0"/>
    </dxf>
    <dxf>
      <font>
        <b val="0"/>
        <i val="0"/>
        <strike val="0"/>
        <condense val="0"/>
        <extend val="0"/>
        <outline val="0"/>
        <shadow val="0"/>
        <u val="none"/>
        <vertAlign val="baseline"/>
        <sz val="12"/>
        <color rgb="FF000000"/>
        <name val="Calibri"/>
        <family val="2"/>
        <scheme val="minor"/>
      </font>
      <alignment horizontal="general" vertical="top" textRotation="0" wrapText="1" indent="0" justifyLastLine="0" shrinkToFit="0" readingOrder="0"/>
    </dxf>
    <dxf>
      <font>
        <strike val="0"/>
        <outline val="0"/>
        <shadow val="0"/>
        <u val="none"/>
        <vertAlign val="baseline"/>
        <sz val="12"/>
        <name val="Calibri"/>
        <family val="2"/>
        <scheme val="minor"/>
      </font>
    </dxf>
    <dxf>
      <font>
        <strike val="0"/>
        <outline val="0"/>
        <shadow val="0"/>
        <u val="none"/>
        <vertAlign val="baseline"/>
        <sz val="12"/>
        <name val="Calibri"/>
        <family val="2"/>
        <scheme val="minor"/>
      </font>
      <alignment horizontal="general" vertical="top" textRotation="0" wrapText="1" indent="0" justifyLastLine="0" shrinkToFit="0" readingOrder="0"/>
      <protection locked="1" hidden="0"/>
    </dxf>
    <dxf>
      <border outline="0">
        <top style="thin">
          <color indexed="64"/>
        </top>
      </border>
    </dxf>
    <dxf>
      <border outline="0">
        <left style="thin">
          <color indexed="64"/>
        </left>
        <right style="thin">
          <color indexed="64"/>
        </right>
        <top style="thin">
          <color indexed="64"/>
        </top>
        <bottom style="thin">
          <color indexed="64"/>
        </bottom>
      </border>
    </dxf>
    <dxf>
      <font>
        <strike val="0"/>
        <outline val="0"/>
        <shadow val="0"/>
        <u val="none"/>
        <vertAlign val="baseline"/>
        <sz val="12"/>
        <name val="Calibri"/>
        <family val="2"/>
        <scheme val="minor"/>
      </font>
    </dxf>
    <dxf>
      <border outline="0">
        <bottom style="thin">
          <color theme="4" tint="0.39997558519241921"/>
        </bottom>
      </border>
    </dxf>
    <dxf>
      <font>
        <b/>
        <i val="0"/>
        <strike val="0"/>
        <condense val="0"/>
        <extend val="0"/>
        <outline val="0"/>
        <shadow val="0"/>
        <u val="none"/>
        <vertAlign val="baseline"/>
        <sz val="12"/>
        <color theme="0"/>
        <name val="Calibri"/>
        <family val="2"/>
        <scheme val="minor"/>
      </font>
      <fill>
        <patternFill patternType="solid">
          <fgColor indexed="64"/>
          <bgColor theme="3" tint="-0.499984740745262"/>
        </patternFill>
      </fill>
      <alignment horizontal="center" vertical="bottom" textRotation="0" wrapText="0" indent="0" justifyLastLine="0" shrinkToFit="0" readingOrder="0"/>
    </dxf>
    <dxf>
      <numFmt numFmtId="164" formatCode="_(&quot;$&quot;* #,##0_);_(&quot;$&quot;* \(#,##0\);_(&quot;$&quot;* &quot;-&quot;??_);_(@_)"/>
      <alignment horizontal="general" vertical="center" textRotation="0" wrapText="0" indent="0" justifyLastLine="0" shrinkToFit="0" readingOrder="0"/>
    </dxf>
    <dxf>
      <font>
        <b/>
        <i/>
        <strike val="0"/>
        <condense val="0"/>
        <extend val="0"/>
        <outline val="0"/>
        <shadow val="0"/>
        <u val="none"/>
        <vertAlign val="baseline"/>
        <sz val="12"/>
        <color theme="1"/>
        <name val="Calibri"/>
        <family val="2"/>
        <scheme val="minor"/>
      </font>
      <fill>
        <patternFill patternType="solid">
          <fgColor indexed="64"/>
          <bgColor theme="3" tint="0.79998168889431442"/>
        </patternFill>
      </fill>
      <alignment horizontal="general" vertical="center" textRotation="0" wrapText="0" indent="0" justifyLastLine="0" shrinkToFit="0" readingOrder="0"/>
      <border diagonalUp="0" diagonalDown="0" outline="0">
        <left/>
        <right/>
        <top style="thin">
          <color indexed="64"/>
        </top>
        <bottom/>
      </border>
    </dxf>
    <dxf>
      <border outline="0">
        <left style="thin">
          <color indexed="64"/>
        </left>
        <right style="thin">
          <color indexed="64"/>
        </right>
        <bottom style="thin">
          <color indexed="64"/>
        </bottom>
      </border>
    </dxf>
    <dxf>
      <font>
        <strike val="0"/>
        <outline val="0"/>
        <shadow val="0"/>
        <u val="none"/>
        <vertAlign val="baseline"/>
        <sz val="12"/>
        <name val="Calibri"/>
        <family val="2"/>
        <scheme val="minor"/>
      </font>
    </dxf>
    <dxf>
      <font>
        <b/>
        <i val="0"/>
        <strike val="0"/>
        <condense val="0"/>
        <extend val="0"/>
        <outline val="0"/>
        <shadow val="0"/>
        <u val="none"/>
        <vertAlign val="baseline"/>
        <sz val="12"/>
        <color theme="0"/>
        <name val="Calibri"/>
        <family val="2"/>
        <scheme val="minor"/>
      </font>
      <fill>
        <patternFill patternType="solid">
          <fgColor indexed="64"/>
          <bgColor theme="3" tint="-0.499984740745262"/>
        </patternFill>
      </fill>
      <alignment horizontal="center" vertical="center" textRotation="0" wrapText="0" indent="0" justifyLastLine="0" shrinkToFit="0" readingOrder="0"/>
    </dxf>
    <dxf>
      <font>
        <strike val="0"/>
        <outline val="0"/>
        <shadow val="0"/>
        <u val="none"/>
        <vertAlign val="baseline"/>
        <sz val="12"/>
        <name val="Calibri"/>
        <family val="2"/>
        <scheme val="minor"/>
      </font>
    </dxf>
    <dxf>
      <border outline="0">
        <left style="thin">
          <color indexed="64"/>
        </left>
        <right style="thin">
          <color indexed="64"/>
        </right>
        <top style="thin">
          <color indexed="64"/>
        </top>
        <bottom style="thin">
          <color indexed="64"/>
        </bottom>
      </border>
    </dxf>
    <dxf>
      <font>
        <strike val="0"/>
        <outline val="0"/>
        <shadow val="0"/>
        <u val="none"/>
        <vertAlign val="baseline"/>
        <sz val="12"/>
        <name val="Calibri"/>
        <family val="2"/>
        <scheme val="minor"/>
      </font>
    </dxf>
    <dxf>
      <font>
        <b/>
        <i val="0"/>
        <strike val="0"/>
        <condense val="0"/>
        <extend val="0"/>
        <outline val="0"/>
        <shadow val="0"/>
        <u val="none"/>
        <vertAlign val="baseline"/>
        <sz val="12"/>
        <color theme="0"/>
        <name val="Calibri"/>
        <family val="2"/>
        <scheme val="minor"/>
      </font>
      <fill>
        <patternFill patternType="solid">
          <fgColor indexed="64"/>
          <bgColor theme="3" tint="-0.499984740745262"/>
        </patternFill>
      </fill>
      <alignment horizontal="center" vertical="center" textRotation="0" wrapText="0" indent="0" justifyLastLine="0" shrinkToFit="0" readingOrder="0"/>
    </dxf>
    <dxf>
      <numFmt numFmtId="164" formatCode="_(&quot;$&quot;* #,##0_);_(&quot;$&quot;* \(#,##0\);_(&quot;$&quot;* &quot;-&quot;??_);_(@_)"/>
      <protection locked="0" hidden="0"/>
    </dxf>
    <dxf>
      <numFmt numFmtId="164" formatCode="_(&quot;$&quot;* #,##0_);_(&quot;$&quot;* \(#,##0\);_(&quot;$&quot;* &quot;-&quot;??_);_(@_)"/>
      <protection locked="0" hidden="0"/>
    </dxf>
    <dxf>
      <numFmt numFmtId="164" formatCode="_(&quot;$&quot;* #,##0_);_(&quot;$&quot;* \(#,##0\);_(&quot;$&quot;* &quot;-&quot;??_);_(@_)"/>
      <protection locked="0" hidden="0"/>
    </dxf>
    <dxf>
      <numFmt numFmtId="164" formatCode="_(&quot;$&quot;* #,##0_);_(&quot;$&quot;* \(#,##0\);_(&quot;$&quot;* &quot;-&quot;??_);_(@_)"/>
      <protection locked="0" hidden="0"/>
    </dxf>
    <dxf>
      <numFmt numFmtId="164" formatCode="_(&quot;$&quot;* #,##0_);_(&quot;$&quot;* \(#,##0\);_(&quot;$&quot;* &quot;-&quot;??_);_(@_)"/>
      <protection locked="0" hidden="0"/>
    </dxf>
    <dxf>
      <numFmt numFmtId="164" formatCode="_(&quot;$&quot;* #,##0_);_(&quot;$&quot;* \(#,##0\);_(&quot;$&quot;* &quot;-&quot;??_);_(@_)"/>
      <protection locked="0" hidden="0"/>
    </dxf>
    <dxf>
      <numFmt numFmtId="164" formatCode="_(&quot;$&quot;* #,##0_);_(&quot;$&quot;* \(#,##0\);_(&quot;$&quot;* &quot;-&quot;??_);_(@_)"/>
      <protection locked="0" hidden="0"/>
    </dxf>
    <dxf>
      <numFmt numFmtId="164" formatCode="_(&quot;$&quot;* #,##0_);_(&quot;$&quot;* \(#,##0\);_(&quot;$&quot;* &quot;-&quot;??_);_(@_)"/>
      <alignment horizontal="general" vertical="bottom" textRotation="0" wrapText="0" indent="0" justifyLastLine="0" shrinkToFit="0" readingOrder="0"/>
      <protection locked="1" hidden="0"/>
    </dxf>
    <dxf>
      <font>
        <b val="0"/>
        <i val="0"/>
        <strike val="0"/>
        <condense val="0"/>
        <extend val="0"/>
        <outline val="0"/>
        <shadow val="0"/>
        <u val="none"/>
        <vertAlign val="baseline"/>
        <sz val="12"/>
        <color theme="1"/>
        <name val="Calibri"/>
        <family val="2"/>
        <scheme val="minor"/>
      </font>
      <alignment horizontal="general" vertical="bottom" textRotation="0" wrapText="1" indent="0" justifyLastLine="0" shrinkToFit="0" readingOrder="0"/>
      <protection locked="0" hidden="0"/>
    </dxf>
    <dxf>
      <alignment horizontal="left" vertical="bottom" textRotation="0" wrapText="1" indent="0" justifyLastLine="0" shrinkToFit="0" readingOrder="0"/>
      <protection locked="0" hidden="0"/>
    </dxf>
    <dxf>
      <border outline="0">
        <right style="thin">
          <color indexed="64"/>
        </right>
        <bottom style="thin">
          <color indexed="64"/>
        </bottom>
      </border>
    </dxf>
    <dxf>
      <font>
        <b val="0"/>
        <i val="0"/>
        <strike val="0"/>
        <condense val="0"/>
        <extend val="0"/>
        <outline val="0"/>
        <shadow val="0"/>
        <u val="none"/>
        <vertAlign val="baseline"/>
        <sz val="12"/>
        <color theme="1"/>
        <name val="Calibri"/>
        <family val="2"/>
        <scheme val="minor"/>
      </font>
      <fill>
        <patternFill patternType="solid">
          <fgColor indexed="64"/>
          <bgColor theme="6" tint="0.79998168889431442"/>
        </patternFill>
      </fill>
      <protection locked="0" hidden="0"/>
    </dxf>
    <dxf>
      <font>
        <b/>
        <i val="0"/>
        <strike val="0"/>
        <condense val="0"/>
        <extend val="0"/>
        <outline val="0"/>
        <shadow val="0"/>
        <u val="none"/>
        <vertAlign val="baseline"/>
        <sz val="12"/>
        <color theme="0"/>
        <name val="Calibri"/>
        <family val="2"/>
        <scheme val="minor"/>
      </font>
      <fill>
        <patternFill patternType="solid">
          <fgColor indexed="64"/>
          <bgColor theme="3" tint="-0.499984740745262"/>
        </patternFill>
      </fill>
      <alignment horizontal="center" vertical="bottom" textRotation="0" wrapText="1" indent="0" justifyLastLine="0" shrinkToFit="0" readingOrder="0"/>
      <border diagonalUp="0" diagonalDown="0" outline="0">
        <left style="thin">
          <color indexed="64"/>
        </left>
        <right style="thin">
          <color indexed="64"/>
        </right>
        <top/>
        <bottom/>
      </border>
      <protection locked="1" hidden="0"/>
    </dxf>
    <dxf>
      <numFmt numFmtId="164" formatCode="_(&quot;$&quot;* #,##0_);_(&quot;$&quot;* \(#,##0\);_(&quot;$&quot;* &quot;-&quot;??_);_(@_)"/>
    </dxf>
    <dxf>
      <numFmt numFmtId="13" formatCode="0%"/>
    </dxf>
    <dxf>
      <numFmt numFmtId="164" formatCode="_(&quot;$&quot;* #,##0_);_(&quot;$&quot;* \(#,##0\);_(&quot;$&quot;* &quot;-&quot;??_);_(@_)"/>
    </dxf>
    <dxf>
      <numFmt numFmtId="35" formatCode="_(* #,##0.00_);_(* \(#,##0.00\);_(* &quot;-&quot;??_);_(@_)"/>
      <alignment horizontal="center" vertical="bottom" textRotation="0" wrapText="0" indent="0" justifyLastLine="0" shrinkToFit="0" readingOrder="0"/>
    </dxf>
    <dxf>
      <numFmt numFmtId="35" formatCode="_(* #,##0.00_);_(* \(#,##0.00\);_(* &quot;-&quot;??_);_(@_)"/>
      <alignment horizontal="center" vertical="bottom" textRotation="0" wrapText="0" indent="0" justifyLastLine="0" shrinkToFit="0" readingOrder="0"/>
    </dxf>
    <dxf>
      <alignment horizontal="general" vertical="bottom" textRotation="0" wrapText="1" indent="0" justifyLastLine="0" shrinkToFit="0" readingOrder="0"/>
    </dxf>
    <dxf>
      <border outline="0">
        <left style="thin">
          <color indexed="64"/>
        </left>
        <top style="thin">
          <color indexed="64"/>
        </top>
        <bottom style="thin">
          <color indexed="64"/>
        </bottom>
      </border>
    </dxf>
    <dxf>
      <font>
        <strike val="0"/>
        <outline val="0"/>
        <shadow val="0"/>
        <u val="none"/>
        <vertAlign val="baseline"/>
        <sz val="12"/>
        <name val="Calibri"/>
        <family val="2"/>
        <scheme val="minor"/>
      </font>
    </dxf>
    <dxf>
      <font>
        <b/>
        <i val="0"/>
        <strike val="0"/>
        <condense val="0"/>
        <extend val="0"/>
        <outline val="0"/>
        <shadow val="0"/>
        <u val="none"/>
        <vertAlign val="baseline"/>
        <sz val="12"/>
        <color theme="0"/>
        <name val="Calibri"/>
        <family val="2"/>
        <scheme val="minor"/>
      </font>
      <fill>
        <patternFill patternType="solid">
          <fgColor indexed="64"/>
          <bgColor theme="3" tint="-0.499984740745262"/>
        </patternFill>
      </fill>
      <alignment horizontal="center" vertical="bottom" textRotation="0" wrapText="1" indent="0" justifyLastLine="0" shrinkToFit="0" readingOrder="0"/>
    </dxf>
    <dxf>
      <numFmt numFmtId="13" formatCode="0%"/>
      <alignment horizontal="right" vertical="bottom" textRotation="0" wrapText="0" indent="0" justifyLastLine="0" shrinkToFit="0" readingOrder="0"/>
    </dxf>
    <dxf>
      <numFmt numFmtId="13" formatCode="0%"/>
      <alignment horizontal="right" vertical="bottom" textRotation="0" wrapText="0" indent="0" justifyLastLine="0" shrinkToFit="0" readingOrder="0"/>
    </dxf>
    <dxf>
      <numFmt numFmtId="13" formatCode="0%"/>
      <alignment horizontal="right" vertical="bottom" textRotation="0" wrapText="0" indent="0" justifyLastLine="0" shrinkToFit="0" readingOrder="0"/>
    </dxf>
    <dxf>
      <numFmt numFmtId="13" formatCode="0%"/>
      <alignment horizontal="right" vertical="bottom" textRotation="0" wrapText="0" indent="0" justifyLastLine="0" shrinkToFit="0" readingOrder="0"/>
    </dxf>
    <dxf>
      <numFmt numFmtId="13" formatCode="0%"/>
      <alignment horizontal="right" vertical="bottom" textRotation="0" wrapText="0" indent="0" justifyLastLine="0" shrinkToFit="0" readingOrder="0"/>
    </dxf>
    <dxf>
      <numFmt numFmtId="13" formatCode="0%"/>
      <alignment horizontal="right" vertical="bottom" textRotation="0" wrapText="0" indent="0" justifyLastLine="0" shrinkToFit="0" readingOrder="0"/>
    </dxf>
    <dxf>
      <numFmt numFmtId="13" formatCode="0%"/>
      <alignment horizontal="right"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alignment horizontal="general" vertical="bottom" textRotation="0" wrapText="1" indent="0" justifyLastLine="0" shrinkToFit="0" readingOrder="0"/>
    </dxf>
    <dxf>
      <alignment horizontal="general" vertical="bottom" textRotation="0" wrapText="1" indent="0" justifyLastLine="0" shrinkToFit="0" readingOrder="0"/>
    </dxf>
    <dxf>
      <border outline="0">
        <top style="thin">
          <color theme="4" tint="0.39997558519241921"/>
        </top>
        <bottom style="thin">
          <color indexed="64"/>
        </bottom>
      </border>
    </dxf>
    <dxf>
      <font>
        <b val="0"/>
        <i val="0"/>
        <strike val="0"/>
        <condense val="0"/>
        <extend val="0"/>
        <outline val="0"/>
        <shadow val="0"/>
        <u val="none"/>
        <vertAlign val="baseline"/>
        <sz val="12"/>
        <color theme="1"/>
        <name val="Calibri"/>
        <family val="2"/>
        <scheme val="minor"/>
      </font>
      <fill>
        <patternFill patternType="solid">
          <fgColor indexed="64"/>
          <bgColor theme="0" tint="-0.249977111117893"/>
        </patternFill>
      </fill>
      <alignment horizontal="right" vertical="bottom" textRotation="0" wrapText="0" indent="0" justifyLastLine="0" shrinkToFit="0" readingOrder="0"/>
    </dxf>
    <dxf>
      <font>
        <b/>
        <i val="0"/>
        <strike val="0"/>
        <condense val="0"/>
        <extend val="0"/>
        <outline val="0"/>
        <shadow val="0"/>
        <u val="none"/>
        <vertAlign val="baseline"/>
        <sz val="12"/>
        <color theme="0"/>
        <name val="Calibri"/>
        <family val="2"/>
        <scheme val="minor"/>
      </font>
      <fill>
        <patternFill patternType="solid">
          <fgColor indexed="64"/>
          <bgColor theme="3" tint="-0.499984740745262"/>
        </patternFill>
      </fill>
      <alignment horizontal="center" vertical="bottom" textRotation="0" wrapText="0" indent="0" justifyLastLine="0" shrinkToFit="0" readingOrder="0"/>
    </dxf>
    <dxf>
      <font>
        <b val="0"/>
        <i val="0"/>
        <strike val="0"/>
        <condense val="0"/>
        <extend val="0"/>
        <outline val="0"/>
        <shadow val="0"/>
        <u val="none"/>
        <vertAlign val="baseline"/>
        <sz val="12"/>
        <color theme="1"/>
        <name val="Calibri"/>
        <family val="2"/>
        <scheme val="minor"/>
      </font>
      <numFmt numFmtId="0" formatCode="General"/>
      <alignment horizontal="general" vertical="top" textRotation="0" wrapText="1" indent="0" justifyLastLine="0" shrinkToFit="0" readingOrder="0"/>
    </dxf>
    <dxf>
      <font>
        <b val="0"/>
        <i val="0"/>
        <strike val="0"/>
        <condense val="0"/>
        <extend val="0"/>
        <outline val="0"/>
        <shadow val="0"/>
        <u val="none"/>
        <vertAlign val="baseline"/>
        <sz val="12"/>
        <color theme="1"/>
        <name val="Calibri"/>
        <family val="2"/>
        <scheme val="minor"/>
      </font>
      <numFmt numFmtId="0" formatCode="General"/>
      <alignment horizontal="general" vertical="top" textRotation="0" wrapText="1" indent="0" justifyLastLine="0" shrinkToFit="0" readingOrder="0"/>
    </dxf>
    <dxf>
      <border outline="0">
        <left style="thin">
          <color indexed="64"/>
        </left>
        <right style="thin">
          <color indexed="64"/>
        </right>
        <top style="thin">
          <color indexed="64"/>
        </top>
        <bottom style="thin">
          <color indexed="64"/>
        </bottom>
      </border>
    </dxf>
    <dxf>
      <font>
        <strike val="0"/>
        <outline val="0"/>
        <shadow val="0"/>
        <u val="none"/>
        <vertAlign val="baseline"/>
        <sz val="12"/>
        <name val="Calibri"/>
        <family val="2"/>
        <scheme val="minor"/>
      </font>
    </dxf>
    <dxf>
      <font>
        <strike val="0"/>
        <outline val="0"/>
        <shadow val="0"/>
        <u val="none"/>
        <vertAlign val="baseline"/>
        <sz val="12"/>
        <name val="Calibri"/>
        <family val="2"/>
        <scheme val="minor"/>
      </font>
      <alignment horizontal="center" vertical="bottom" textRotation="0" indent="0" justifyLastLine="0" shrinkToFit="0" readingOrder="0"/>
    </dxf>
    <dxf>
      <font>
        <b val="0"/>
        <i val="0"/>
        <strike val="0"/>
        <condense val="0"/>
        <extend val="0"/>
        <outline val="0"/>
        <shadow val="0"/>
        <u val="none"/>
        <vertAlign val="baseline"/>
        <sz val="12"/>
        <color theme="1"/>
        <name val="Calibri"/>
        <family val="2"/>
        <scheme val="minor"/>
      </font>
      <numFmt numFmtId="13" formatCode="0%"/>
      <fill>
        <patternFill patternType="solid">
          <fgColor indexed="64"/>
          <bgColor theme="0"/>
        </patternFill>
      </fill>
      <border diagonalUp="0" diagonalDown="0">
        <left style="thin">
          <color indexed="64"/>
        </left>
        <right/>
        <top style="thin">
          <color indexed="64"/>
        </top>
        <bottom/>
        <vertical/>
        <horizontal/>
      </border>
    </dxf>
    <dxf>
      <font>
        <b val="0"/>
        <i val="0"/>
        <strike val="0"/>
        <condense val="0"/>
        <extend val="0"/>
        <outline val="0"/>
        <shadow val="0"/>
        <u val="none"/>
        <vertAlign val="baseline"/>
        <sz val="12"/>
        <color theme="1"/>
        <name val="Calibri"/>
        <family val="2"/>
        <scheme val="minor"/>
      </font>
      <fill>
        <patternFill patternType="solid">
          <fgColor indexed="64"/>
          <bgColor theme="0"/>
        </patternFill>
      </fill>
      <border diagonalUp="0" diagonalDown="0">
        <left style="thin">
          <color indexed="64"/>
        </left>
        <right/>
        <top style="thin">
          <color indexed="64"/>
        </top>
        <bottom/>
        <vertical/>
        <horizontal/>
      </border>
    </dxf>
    <dxf>
      <font>
        <b val="0"/>
        <i val="0"/>
        <strike val="0"/>
        <condense val="0"/>
        <extend val="0"/>
        <outline val="0"/>
        <shadow val="0"/>
        <u val="none"/>
        <vertAlign val="baseline"/>
        <sz val="12"/>
        <color theme="1"/>
        <name val="Calibri"/>
        <family val="2"/>
        <scheme val="minor"/>
      </font>
      <fill>
        <patternFill patternType="solid">
          <fgColor indexed="64"/>
          <bgColor theme="0"/>
        </patternFill>
      </fill>
      <border diagonalUp="0" diagonalDown="0">
        <left/>
        <right/>
        <top style="thin">
          <color indexed="64"/>
        </top>
        <bottom/>
        <vertical/>
        <horizontal/>
      </border>
    </dxf>
    <dxf>
      <border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theme="0"/>
        <name val="Calibri"/>
        <family val="2"/>
        <scheme val="minor"/>
      </font>
      <fill>
        <patternFill patternType="solid">
          <fgColor indexed="64"/>
          <bgColor theme="3" tint="-0.499984740745262"/>
        </patternFill>
      </fill>
      <alignment horizontal="center" vertical="bottom" textRotation="0" wrapText="1" indent="0" justifyLastLine="0" shrinkToFit="0" readingOrder="0"/>
    </dxf>
    <dxf>
      <font>
        <b val="0"/>
        <i val="0"/>
        <strike val="0"/>
        <condense val="0"/>
        <extend val="0"/>
        <outline val="0"/>
        <shadow val="0"/>
        <u val="none"/>
        <vertAlign val="baseline"/>
        <sz val="12"/>
        <color theme="1"/>
        <name val="Calibri"/>
        <family val="2"/>
        <scheme val="minor"/>
      </font>
      <fill>
        <patternFill patternType="solid">
          <fgColor indexed="64"/>
          <bgColor theme="0"/>
        </patternFill>
      </fill>
      <border diagonalUp="0" diagonalDown="0" outline="0">
        <left style="thin">
          <color indexed="64"/>
        </left>
        <right/>
        <top style="thin">
          <color indexed="64"/>
        </top>
        <bottom/>
      </border>
    </dxf>
    <dxf>
      <font>
        <b val="0"/>
        <i val="0"/>
        <strike val="0"/>
        <condense val="0"/>
        <extend val="0"/>
        <outline val="0"/>
        <shadow val="0"/>
        <u val="none"/>
        <vertAlign val="baseline"/>
        <sz val="12"/>
        <color theme="1"/>
        <name val="Calibri"/>
        <family val="2"/>
        <scheme val="minor"/>
      </font>
      <numFmt numFmtId="164" formatCode="_(&quot;$&quot;* #,##0_);_(&quot;$&quot;* \(#,##0\);_(&quot;$&quot;* &quot;-&quot;??_);_(@_)"/>
      <fill>
        <patternFill patternType="solid">
          <fgColor indexed="64"/>
          <bgColor theme="0"/>
        </patternFill>
      </fill>
      <border diagonalUp="0" diagonalDown="0" outline="0">
        <left style="thin">
          <color indexed="64"/>
        </left>
        <right/>
        <top style="thin">
          <color indexed="64"/>
        </top>
        <bottom/>
      </border>
    </dxf>
    <dxf>
      <font>
        <b val="0"/>
        <i val="0"/>
        <strike val="0"/>
        <condense val="0"/>
        <extend val="0"/>
        <outline val="0"/>
        <shadow val="0"/>
        <u val="none"/>
        <vertAlign val="baseline"/>
        <sz val="12"/>
        <color theme="1"/>
        <name val="Calibri"/>
        <family val="2"/>
        <scheme val="minor"/>
      </font>
      <fill>
        <patternFill patternType="solid">
          <fgColor indexed="64"/>
          <bgColor theme="0"/>
        </patternFill>
      </fill>
      <border diagonalUp="0" diagonalDown="0" outline="0">
        <left/>
        <right/>
        <top style="thin">
          <color indexed="64"/>
        </top>
        <bottom/>
      </border>
    </dxf>
    <dxf>
      <border outline="0">
        <left style="thin">
          <color indexed="64"/>
        </left>
        <right style="thin">
          <color indexed="64"/>
        </right>
        <top style="thin">
          <color indexed="64"/>
        </top>
        <bottom style="thin">
          <color indexed="64"/>
        </bottom>
      </border>
    </dxf>
    <dxf>
      <font>
        <strike val="0"/>
        <outline val="0"/>
        <shadow val="0"/>
        <u val="none"/>
        <vertAlign val="baseline"/>
        <sz val="12"/>
        <name val="Calibri"/>
        <family val="2"/>
        <scheme val="minor"/>
      </font>
    </dxf>
    <dxf>
      <font>
        <b/>
        <i val="0"/>
        <strike val="0"/>
        <condense val="0"/>
        <extend val="0"/>
        <outline val="0"/>
        <shadow val="0"/>
        <u val="none"/>
        <vertAlign val="baseline"/>
        <sz val="12"/>
        <color theme="0"/>
        <name val="Calibri"/>
        <family val="2"/>
        <scheme val="minor"/>
      </font>
      <fill>
        <patternFill patternType="solid">
          <fgColor indexed="64"/>
          <bgColor theme="3" tint="-0.499984740745262"/>
        </patternFill>
      </fill>
      <alignment horizontal="center" vertical="bottom" textRotation="0" wrapText="1" indent="0" justifyLastLine="0" shrinkToFit="0" readingOrder="0"/>
    </dxf>
    <dxf>
      <font>
        <b val="0"/>
        <i val="0"/>
        <strike val="0"/>
        <condense val="0"/>
        <extend val="0"/>
        <outline val="0"/>
        <shadow val="0"/>
        <u val="none"/>
        <vertAlign val="baseline"/>
        <sz val="12"/>
        <color theme="1"/>
        <name val="Calibri"/>
        <family val="2"/>
        <scheme val="minor"/>
      </font>
      <fill>
        <patternFill patternType="solid">
          <fgColor indexed="64"/>
          <bgColor theme="0"/>
        </patternFill>
      </fill>
      <alignment horizontal="general" vertical="top" textRotation="0" wrapText="1" indent="0" justifyLastLine="0" shrinkToFit="0" readingOrder="0"/>
      <border diagonalUp="0" diagonalDown="0" outline="0">
        <left style="thin">
          <color indexed="64"/>
        </left>
        <right/>
        <top style="thin">
          <color indexed="64"/>
        </top>
        <bottom/>
      </border>
    </dxf>
    <dxf>
      <font>
        <b/>
        <i val="0"/>
        <strike val="0"/>
        <condense val="0"/>
        <extend val="0"/>
        <outline val="0"/>
        <shadow val="0"/>
        <u val="none"/>
        <vertAlign val="baseline"/>
        <sz val="12"/>
        <color auto="1"/>
        <name val="Calibri"/>
        <family val="2"/>
        <scheme val="minor"/>
      </font>
      <fill>
        <patternFill patternType="solid">
          <fgColor indexed="64"/>
          <bgColor theme="0"/>
        </patternFill>
      </fill>
      <alignment horizontal="general" vertical="top" textRotation="0" wrapText="0" indent="0" justifyLastLine="0" shrinkToFit="0" readingOrder="0"/>
      <border diagonalUp="0" diagonalDown="0" outline="0">
        <left style="thin">
          <color indexed="64"/>
        </left>
        <right/>
        <top style="thin">
          <color indexed="64"/>
        </top>
        <bottom/>
      </border>
    </dxf>
    <dxf>
      <border outline="0">
        <right style="thin">
          <color indexed="64"/>
        </right>
        <bottom style="thin">
          <color indexed="64"/>
        </bottom>
      </border>
    </dxf>
    <dxf>
      <font>
        <strike val="0"/>
        <outline val="0"/>
        <shadow val="0"/>
        <u val="none"/>
        <vertAlign val="baseline"/>
        <sz val="12"/>
        <name val="Calibri"/>
        <family val="2"/>
        <scheme val="minor"/>
      </font>
    </dxf>
    <dxf>
      <font>
        <strike val="0"/>
        <outline val="0"/>
        <shadow val="0"/>
        <u val="none"/>
        <vertAlign val="baseline"/>
        <sz val="12"/>
        <name val="Calibri"/>
        <family val="2"/>
        <scheme val="minor"/>
      </font>
      <alignment horizontal="center" vertical="top" textRotation="0" wrapText="0" indent="0" justifyLastLine="0" shrinkToFit="0" readingOrder="0"/>
    </dxf>
    <dxf>
      <font>
        <b val="0"/>
        <i val="0"/>
        <strike val="0"/>
        <condense val="0"/>
        <extend val="0"/>
        <outline val="0"/>
        <shadow val="0"/>
        <u val="none"/>
        <vertAlign val="baseline"/>
        <sz val="12"/>
        <color theme="1"/>
        <name val="Calibri"/>
        <family val="2"/>
        <scheme val="minor"/>
      </font>
      <fill>
        <patternFill patternType="solid">
          <fgColor indexed="64"/>
          <bgColor theme="0"/>
        </patternFill>
      </fill>
      <border diagonalUp="0" diagonalDown="0" outline="0">
        <left/>
        <right/>
        <top style="thin">
          <color indexed="64"/>
        </top>
        <bottom/>
      </border>
    </dxf>
    <dxf>
      <font>
        <b/>
        <i val="0"/>
        <strike val="0"/>
        <condense val="0"/>
        <extend val="0"/>
        <outline val="0"/>
        <shadow val="0"/>
        <u val="none"/>
        <vertAlign val="baseline"/>
        <sz val="12"/>
        <color theme="1"/>
        <name val="Calibri"/>
        <family val="2"/>
        <scheme val="minor"/>
      </font>
      <fill>
        <patternFill patternType="solid">
          <fgColor indexed="64"/>
          <bgColor theme="0"/>
        </patternFill>
      </fill>
      <border diagonalUp="0" diagonalDown="0" outline="0">
        <left/>
        <right/>
        <top style="thin">
          <color indexed="64"/>
        </top>
        <bottom/>
      </border>
    </dxf>
    <dxf>
      <border outline="0">
        <left style="thin">
          <color indexed="64"/>
        </left>
        <right style="thin">
          <color indexed="64"/>
        </right>
        <top style="thin">
          <color indexed="64"/>
        </top>
        <bottom style="thin">
          <color indexed="64"/>
        </bottom>
      </border>
    </dxf>
    <dxf>
      <font>
        <strike val="0"/>
        <outline val="0"/>
        <shadow val="0"/>
        <u val="none"/>
        <vertAlign val="baseline"/>
        <sz val="12"/>
        <name val="Calibri"/>
        <family val="2"/>
        <scheme val="minor"/>
      </font>
    </dxf>
    <dxf>
      <font>
        <b/>
        <i val="0"/>
        <strike val="0"/>
        <condense val="0"/>
        <extend val="0"/>
        <outline val="0"/>
        <shadow val="0"/>
        <u val="none"/>
        <vertAlign val="baseline"/>
        <sz val="12"/>
        <color theme="0"/>
        <name val="Calibri"/>
        <family val="2"/>
        <scheme val="minor"/>
      </font>
      <fill>
        <patternFill patternType="solid">
          <fgColor indexed="64"/>
          <bgColor theme="3" tint="-0.499984740745262"/>
        </patternFill>
      </fill>
      <alignment horizontal="center" vertical="bottom" textRotation="0" wrapText="0" indent="0" justifyLastLine="0" shrinkToFit="0" readingOrder="0"/>
    </dxf>
    <dxf>
      <font>
        <strike val="0"/>
        <outline val="0"/>
        <shadow val="0"/>
        <u val="none"/>
        <vertAlign val="baseline"/>
        <sz val="12"/>
        <name val="Calibri"/>
        <family val="2"/>
        <scheme val="minor"/>
      </font>
    </dxf>
    <dxf>
      <font>
        <b/>
        <i val="0"/>
        <strike val="0"/>
        <condense val="0"/>
        <extend val="0"/>
        <outline val="0"/>
        <shadow val="0"/>
        <u val="none"/>
        <vertAlign val="baseline"/>
        <sz val="12"/>
        <color auto="1"/>
        <name val="Calibri"/>
        <family val="2"/>
        <scheme val="minor"/>
      </font>
      <fill>
        <patternFill patternType="solid">
          <fgColor indexed="64"/>
          <bgColor theme="0"/>
        </patternFill>
      </fill>
      <alignment horizontal="left" vertical="top" textRotation="0" wrapText="0" indent="0" justifyLastLine="0" shrinkToFit="0" readingOrder="0"/>
      <border diagonalUp="0" diagonalDown="0" outline="0">
        <left/>
        <right/>
        <top style="thin">
          <color indexed="64"/>
        </top>
        <bottom/>
      </border>
    </dxf>
    <dxf>
      <border outline="0">
        <left style="thin">
          <color indexed="64"/>
        </left>
        <right style="thin">
          <color indexed="64"/>
        </right>
        <top style="thin">
          <color indexed="64"/>
        </top>
        <bottom style="thin">
          <color indexed="64"/>
        </bottom>
      </border>
    </dxf>
    <dxf>
      <font>
        <strike val="0"/>
        <outline val="0"/>
        <shadow val="0"/>
        <u val="none"/>
        <vertAlign val="baseline"/>
        <sz val="12"/>
        <name val="Calibri"/>
        <family val="2"/>
        <scheme val="minor"/>
      </font>
    </dxf>
    <dxf>
      <font>
        <b/>
        <i val="0"/>
        <strike val="0"/>
        <condense val="0"/>
        <extend val="0"/>
        <outline val="0"/>
        <shadow val="0"/>
        <u val="none"/>
        <vertAlign val="baseline"/>
        <sz val="12"/>
        <color theme="0"/>
        <name val="Calibri"/>
        <family val="2"/>
        <scheme val="minor"/>
      </font>
      <fill>
        <patternFill patternType="solid">
          <fgColor indexed="64"/>
          <bgColor theme="3" tint="-0.499984740745262"/>
        </patternFill>
      </fill>
      <alignment horizontal="center" vertical="bottom" textRotation="0" wrapText="0" indent="0" justifyLastLine="0" shrinkToFit="0" readingOrder="0"/>
    </dxf>
  </dxfs>
  <tableStyles count="0" defaultTableStyle="TableStyleMedium2" defaultPivotStyle="PivotStyleLight16"/>
  <colors>
    <mruColors>
      <color rgb="FFF25F0E"/>
      <color rgb="FF009AD0"/>
      <color rgb="FF008A3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55"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ustomXml" Target="../customXml/item3.xml"/><Relationship Id="rId8" Type="http://schemas.openxmlformats.org/officeDocument/2006/relationships/worksheet" Target="worksheets/sheet8.xml"/><Relationship Id="rId51" Type="http://schemas.openxmlformats.org/officeDocument/2006/relationships/styles" Target="styles.xml"/><Relationship Id="rId3" Type="http://schemas.openxmlformats.org/officeDocument/2006/relationships/worksheet" Target="worksheets/sheet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0" i="0" u="none" strike="noStrike" kern="1200" spc="0" baseline="0">
                <a:solidFill>
                  <a:sysClr val="windowText" lastClr="000000"/>
                </a:solidFill>
                <a:latin typeface="+mn-lt"/>
                <a:ea typeface="+mn-ea"/>
                <a:cs typeface="+mn-cs"/>
              </a:defRPr>
            </a:pPr>
            <a:r>
              <a:rPr lang="en-US"/>
              <a:t>7-Year ROI by Improvement Opportunity</a:t>
            </a:r>
          </a:p>
        </c:rich>
      </c:tx>
      <c:overlay val="0"/>
      <c:spPr>
        <a:noFill/>
        <a:ln>
          <a:noFill/>
        </a:ln>
        <a:effectLst/>
      </c:spPr>
      <c:txPr>
        <a:bodyPr rot="0" spcFirstLastPara="1" vertOverflow="ellipsis" vert="horz" wrap="square" anchor="ctr" anchorCtr="1"/>
        <a:lstStyle/>
        <a:p>
          <a:pPr>
            <a:defRPr sz="1440" b="0" i="0" u="none" strike="noStrike" kern="1200" spc="0" baseline="0">
              <a:solidFill>
                <a:sysClr val="windowText" lastClr="000000"/>
              </a:solidFill>
              <a:latin typeface="+mn-lt"/>
              <a:ea typeface="+mn-ea"/>
              <a:cs typeface="+mn-cs"/>
            </a:defRPr>
          </a:pPr>
          <a:endParaRPr lang="en-US"/>
        </a:p>
      </c:txPr>
    </c:title>
    <c:autoTitleDeleted val="0"/>
    <c:plotArea>
      <c:layout/>
      <c:barChart>
        <c:barDir val="col"/>
        <c:grouping val="clustered"/>
        <c:varyColors val="0"/>
        <c:ser>
          <c:idx val="0"/>
          <c:order val="0"/>
          <c:tx>
            <c:strRef>
              <c:f>Dashboard!$C$8</c:f>
              <c:strCache>
                <c:ptCount val="1"/>
                <c:pt idx="0">
                  <c:v>7-Year ROI
(Rounded to nearest quarter)</c:v>
                </c:pt>
              </c:strCache>
            </c:strRef>
          </c:tx>
          <c:spPr>
            <a:solidFill>
              <a:schemeClr val="accent1"/>
            </a:solidFill>
            <a:ln>
              <a:noFill/>
            </a:ln>
            <a:effectLst/>
          </c:spPr>
          <c:invertIfNegative val="0"/>
          <c:dLbls>
            <c:dLbl>
              <c:idx val="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7F2-4787-9AE6-2EB023690390}"/>
                </c:ext>
              </c:extLst>
            </c:dLbl>
            <c:dLbl>
              <c:idx val="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7F2-4787-9AE6-2EB023690390}"/>
                </c:ext>
              </c:extLst>
            </c:dLbl>
            <c:dLbl>
              <c:idx val="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7F2-4787-9AE6-2EB023690390}"/>
                </c:ext>
              </c:extLst>
            </c:dLbl>
            <c:dLbl>
              <c:idx val="3"/>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7F2-4787-9AE6-2EB023690390}"/>
                </c:ext>
              </c:extLst>
            </c:dLbl>
            <c:dLbl>
              <c:idx val="4"/>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7F2-4787-9AE6-2EB023690390}"/>
                </c:ext>
              </c:extLst>
            </c:dLbl>
            <c:dLbl>
              <c:idx val="5"/>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7F2-4787-9AE6-2EB023690390}"/>
                </c:ext>
              </c:extLst>
            </c:dLbl>
            <c:dLbl>
              <c:idx val="6"/>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F7F2-4787-9AE6-2EB023690390}"/>
                </c:ext>
              </c:extLst>
            </c:dLbl>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Dashboard!$A$9:$A$15</c:f>
              <c:strCache>
                <c:ptCount val="7"/>
                <c:pt idx="0">
                  <c:v>Electronic bidding and contract award</c:v>
                </c:pt>
                <c:pt idx="1">
                  <c:v>Digital plans, specifications, and estimates</c:v>
                </c:pt>
                <c:pt idx="2">
                  <c:v>Digital review of project documents</c:v>
                </c:pt>
                <c:pt idx="3">
                  <c:v>Project construction management</c:v>
                </c:pt>
                <c:pt idx="4">
                  <c:v>Digital management of construction documentation using a project collaboration tool</c:v>
                </c:pt>
                <c:pt idx="5">
                  <c:v>Requirement of digital as-builts </c:v>
                </c:pt>
                <c:pt idx="6">
                  <c:v>Mobile devices </c:v>
                </c:pt>
              </c:strCache>
            </c:strRef>
          </c:cat>
          <c:val>
            <c:numRef>
              <c:f>Dashboard!$C$9:$C$15</c:f>
              <c:numCache>
                <c:formatCode>0%</c:formatCode>
                <c:ptCount val="7"/>
                <c:pt idx="0">
                  <c:v>7</c:v>
                </c:pt>
                <c:pt idx="1">
                  <c:v>3.25</c:v>
                </c:pt>
                <c:pt idx="2">
                  <c:v>7.75</c:v>
                </c:pt>
                <c:pt idx="3">
                  <c:v>2.5</c:v>
                </c:pt>
                <c:pt idx="4">
                  <c:v>2.5</c:v>
                </c:pt>
                <c:pt idx="5">
                  <c:v>1.25</c:v>
                </c:pt>
                <c:pt idx="6">
                  <c:v>2</c:v>
                </c:pt>
              </c:numCache>
            </c:numRef>
          </c:val>
          <c:extLst>
            <c:ext xmlns:c16="http://schemas.microsoft.com/office/drawing/2014/chart" uri="{C3380CC4-5D6E-409C-BE32-E72D297353CC}">
              <c16:uniqueId val="{00000000-C3E6-4F34-AAC4-D9716788CCFF}"/>
            </c:ext>
          </c:extLst>
        </c:ser>
        <c:dLbls>
          <c:showLegendKey val="0"/>
          <c:showVal val="0"/>
          <c:showCatName val="0"/>
          <c:showSerName val="0"/>
          <c:showPercent val="0"/>
          <c:showBubbleSize val="0"/>
        </c:dLbls>
        <c:gapWidth val="219"/>
        <c:overlap val="-27"/>
        <c:axId val="232814432"/>
        <c:axId val="232730096"/>
      </c:barChart>
      <c:catAx>
        <c:axId val="232814432"/>
        <c:scaling>
          <c:orientation val="minMax"/>
        </c:scaling>
        <c:delete val="0"/>
        <c:axPos val="b"/>
        <c:title>
          <c:tx>
            <c:rich>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r>
                  <a:rPr lang="en-US"/>
                  <a:t>Improvement Opportunity</a:t>
                </a:r>
              </a:p>
            </c:rich>
          </c:tx>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232730096"/>
        <c:crosses val="autoZero"/>
        <c:auto val="1"/>
        <c:lblAlgn val="ctr"/>
        <c:lblOffset val="100"/>
        <c:noMultiLvlLbl val="0"/>
      </c:catAx>
      <c:valAx>
        <c:axId val="2327300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r>
                  <a:rPr lang="en-US"/>
                  <a:t>ROI %</a:t>
                </a:r>
              </a:p>
            </c:rich>
          </c:tx>
          <c:overlay val="0"/>
          <c:spPr>
            <a:noFill/>
            <a:ln>
              <a:noFill/>
            </a:ln>
            <a:effectLst/>
          </c:spPr>
          <c:txPr>
            <a:bodyPr rot="-54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23281443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200">
          <a:solidFill>
            <a:sysClr val="windowText" lastClr="000000"/>
          </a:solidFill>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1" i="0" u="none" strike="noStrike" kern="1200" spc="0" baseline="0">
                <a:solidFill>
                  <a:sysClr val="windowText" lastClr="000000"/>
                </a:solidFill>
                <a:latin typeface="+mn-lt"/>
                <a:ea typeface="+mn-ea"/>
                <a:cs typeface="+mn-cs"/>
              </a:defRPr>
            </a:pPr>
            <a:r>
              <a:rPr lang="en-US" b="1"/>
              <a:t>Breakeven Year by Improvement Opportunity</a:t>
            </a:r>
          </a:p>
        </c:rich>
      </c:tx>
      <c:overlay val="0"/>
      <c:spPr>
        <a:noFill/>
        <a:ln>
          <a:noFill/>
        </a:ln>
        <a:effectLst/>
      </c:spPr>
      <c:txPr>
        <a:bodyPr rot="0" spcFirstLastPara="1" vertOverflow="ellipsis" vert="horz" wrap="square" anchor="ctr" anchorCtr="1"/>
        <a:lstStyle/>
        <a:p>
          <a:pPr>
            <a:defRPr sz="1440" b="1" i="0" u="none" strike="noStrike" kern="1200" spc="0" baseline="0">
              <a:solidFill>
                <a:sysClr val="windowText" lastClr="000000"/>
              </a:solidFill>
              <a:latin typeface="+mn-lt"/>
              <a:ea typeface="+mn-ea"/>
              <a:cs typeface="+mn-cs"/>
            </a:defRPr>
          </a:pPr>
          <a:endParaRPr lang="en-US"/>
        </a:p>
      </c:txPr>
    </c:title>
    <c:autoTitleDeleted val="0"/>
    <c:plotArea>
      <c:layout/>
      <c:barChart>
        <c:barDir val="col"/>
        <c:grouping val="clustered"/>
        <c:varyColors val="0"/>
        <c:ser>
          <c:idx val="0"/>
          <c:order val="0"/>
          <c:tx>
            <c:strRef>
              <c:f>Dashboard!$B$8</c:f>
              <c:strCache>
                <c:ptCount val="1"/>
                <c:pt idx="0">
                  <c:v>Breakeven Year (From start of project planning)</c:v>
                </c:pt>
              </c:strCache>
            </c:strRef>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Dashboard!$A$9:$A$15</c:f>
              <c:strCache>
                <c:ptCount val="7"/>
                <c:pt idx="0">
                  <c:v>Electronic bidding and contract award</c:v>
                </c:pt>
                <c:pt idx="1">
                  <c:v>Digital plans, specifications, and estimates</c:v>
                </c:pt>
                <c:pt idx="2">
                  <c:v>Digital review of project documents</c:v>
                </c:pt>
                <c:pt idx="3">
                  <c:v>Project construction management</c:v>
                </c:pt>
                <c:pt idx="4">
                  <c:v>Digital management of construction documentation using a project collaboration tool</c:v>
                </c:pt>
                <c:pt idx="5">
                  <c:v>Requirement of digital as-builts </c:v>
                </c:pt>
                <c:pt idx="6">
                  <c:v>Mobile devices </c:v>
                </c:pt>
              </c:strCache>
            </c:strRef>
          </c:cat>
          <c:val>
            <c:numRef>
              <c:f>Dashboard!$B$9:$B$15</c:f>
              <c:numCache>
                <c:formatCode>General</c:formatCode>
                <c:ptCount val="7"/>
                <c:pt idx="0">
                  <c:v>3</c:v>
                </c:pt>
                <c:pt idx="1">
                  <c:v>3</c:v>
                </c:pt>
                <c:pt idx="2">
                  <c:v>2</c:v>
                </c:pt>
                <c:pt idx="3">
                  <c:v>4</c:v>
                </c:pt>
                <c:pt idx="4">
                  <c:v>5</c:v>
                </c:pt>
                <c:pt idx="5">
                  <c:v>3</c:v>
                </c:pt>
                <c:pt idx="6">
                  <c:v>3</c:v>
                </c:pt>
              </c:numCache>
            </c:numRef>
          </c:val>
          <c:extLst>
            <c:ext xmlns:c16="http://schemas.microsoft.com/office/drawing/2014/chart" uri="{C3380CC4-5D6E-409C-BE32-E72D297353CC}">
              <c16:uniqueId val="{00000000-5B67-45A7-A4A2-653E259A4987}"/>
            </c:ext>
          </c:extLst>
        </c:ser>
        <c:dLbls>
          <c:dLblPos val="outEnd"/>
          <c:showLegendKey val="0"/>
          <c:showVal val="1"/>
          <c:showCatName val="0"/>
          <c:showSerName val="0"/>
          <c:showPercent val="0"/>
          <c:showBubbleSize val="0"/>
        </c:dLbls>
        <c:gapWidth val="219"/>
        <c:overlap val="-27"/>
        <c:axId val="232733064"/>
        <c:axId val="232743904"/>
      </c:barChart>
      <c:catAx>
        <c:axId val="232733064"/>
        <c:scaling>
          <c:orientation val="minMax"/>
        </c:scaling>
        <c:delete val="0"/>
        <c:axPos val="b"/>
        <c:title>
          <c:tx>
            <c:rich>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r>
                  <a:rPr lang="en-US"/>
                  <a:t>Improvement Opportunity</a:t>
                </a:r>
              </a:p>
            </c:rich>
          </c:tx>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232743904"/>
        <c:crosses val="autoZero"/>
        <c:auto val="1"/>
        <c:lblAlgn val="ctr"/>
        <c:lblOffset val="100"/>
        <c:noMultiLvlLbl val="0"/>
      </c:catAx>
      <c:valAx>
        <c:axId val="23274390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r>
                  <a:rPr lang="en-US"/>
                  <a:t>Years</a:t>
                </a:r>
              </a:p>
            </c:rich>
          </c:tx>
          <c:overlay val="0"/>
          <c:spPr>
            <a:noFill/>
            <a:ln>
              <a:noFill/>
            </a:ln>
            <a:effectLst/>
          </c:spPr>
          <c:txPr>
            <a:bodyPr rot="-54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23273306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200">
          <a:solidFill>
            <a:sysClr val="windowText" lastClr="000000"/>
          </a:solidFill>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xdr:from>
      <xdr:col>0</xdr:col>
      <xdr:colOff>0</xdr:colOff>
      <xdr:row>18</xdr:row>
      <xdr:rowOff>19047</xdr:rowOff>
    </xdr:from>
    <xdr:to>
      <xdr:col>4</xdr:col>
      <xdr:colOff>942975</xdr:colOff>
      <xdr:row>38</xdr:row>
      <xdr:rowOff>152399</xdr:rowOff>
    </xdr:to>
    <xdr:graphicFrame macro="">
      <xdr:nvGraphicFramePr>
        <xdr:cNvPr id="2" name="Chart 1" descr="This graph chart shows the ROI  by improvement opportunity using values in Table 5.  " title="Chart. 7-Year ROI by Improvement Opportunity">
          <a:extLst>
            <a:ext uri="{FF2B5EF4-FFF2-40B4-BE49-F238E27FC236}">
              <a16:creationId xmlns:a16="http://schemas.microsoft.com/office/drawing/2014/main" id="{00000000-0008-0000-03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204107</xdr:colOff>
      <xdr:row>18</xdr:row>
      <xdr:rowOff>0</xdr:rowOff>
    </xdr:from>
    <xdr:to>
      <xdr:col>19</xdr:col>
      <xdr:colOff>299357</xdr:colOff>
      <xdr:row>38</xdr:row>
      <xdr:rowOff>185057</xdr:rowOff>
    </xdr:to>
    <xdr:graphicFrame macro="">
      <xdr:nvGraphicFramePr>
        <xdr:cNvPr id="5" name="Chart 4" descr="Bar graph showing Breakeven Year by Improvement Opportunity. This chart uses data from Table 5 to present the information graphically." title="Chart. Breakeven Year by Improvement Opportunity.">
          <a:extLst>
            <a:ext uri="{FF2B5EF4-FFF2-40B4-BE49-F238E27FC236}">
              <a16:creationId xmlns:a16="http://schemas.microsoft.com/office/drawing/2014/main" id="{00000000-0008-0000-03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6</xdr:row>
      <xdr:rowOff>136071</xdr:rowOff>
    </xdr:from>
    <xdr:to>
      <xdr:col>1</xdr:col>
      <xdr:colOff>0</xdr:colOff>
      <xdr:row>36</xdr:row>
      <xdr:rowOff>121227</xdr:rowOff>
    </xdr:to>
    <xdr:pic>
      <xdr:nvPicPr>
        <xdr:cNvPr id="2" name="Picture 1" descr="This image shows a schedule timeline for several phases by task for a period of 13 months.&#10;&#10;Phase 1 is the Pre-Implementation Planning Phase, which lasts a total of 4 months and includes the following tasks:&#10;&#10;Task 1: &quot;Initiate Project&quot;, which starts in month 1 and has a duration of 1-month.&#10;&#10;Task 2: &quot;Document As-Is Process&quot;, which starts in month 1 and has a duration of 1-month.&#10;&#10;Task 3: &quot;Define To-Be Process&quot;, which starts in month 1 and has a duration of 2 months.&#10;&#10;Task 4: &quot;Define Systems Requirements&quot;, which starts in month 3 and has a duration of 1-month.&#10;&#10;Task 5: “Negotiate Purchase (State Contract )&quot;, which starts in month 4 and has a duration of 1-month.&#10;&#10;Phase 2 is the Systems Implementation Phase, which starts after the Pre-Implementation Planning Phase is completed and lasts a total of 9 months. It includes the following tasks:&#10;&#10;Task 1: &quot;Initiate implementation phase&quot;, which starts in month 5 and has a duration of 1-month.&#10;&#10;Task 2:  &quot;Configure device for agency requirements&quot;, which starts in month 6 and has duration of 1-month.&#10;&#10;Task 3: &quot;Conduct conference room pilot, which starts in month 6 and has a duration of 1-month.&#10;&#10;Task 4: &quot;Identify gaps and confirm solutions&quot;, which starts in month 7 and has a duration of 1-month.&#10;&#10;Task 5: “Design and develop required adjustments&quot;, which starts in month 7 and has a duration of 1-month.&#10;&#10;Task 6: “Conduct field test”, which starts in month 8 and has a duration of 1 month.&#10;&#10;Task 7:”Prepare training material”, which starts in month 7 and has a 3-month duration.&#10;&#10;Task 8: &quot;Conduct user training&quot;, which starts in month 10 and has a 1-month duration.&#10;&#10;Task 9: “Initiate production cut-over - deploy to field&quot;, which starts in month 10 and has a duration of 3- months.&#10;&#10;Task 10: &quot;Provide production support”, which starts in month 10 and lasts 4 months.&#10;&#10;Project Management is a key activity that lasts the entire duration of the project (13 months).&#10;&#10;Organization Change Management is another important activity that also lasts the entire duration of the project (13 months).&#10;&#10;Lastly, there is a legend at the bottom of the schedule showing the colors coding for each phase." title="Figure 1. Timeline. Potential schedule for implementation of electronic bidding and contractor selection.">
          <a:extLst>
            <a:ext uri="{FF2B5EF4-FFF2-40B4-BE49-F238E27FC236}">
              <a16:creationId xmlns:a16="http://schemas.microsoft.com/office/drawing/2014/main" id="{89B74C18-F29B-49D5-A80C-EE176C360F53}"/>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362"/>
        <a:stretch/>
      </xdr:blipFill>
      <xdr:spPr>
        <a:xfrm>
          <a:off x="0" y="2408464"/>
          <a:ext cx="11906250" cy="570015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6</xdr:row>
      <xdr:rowOff>149679</xdr:rowOff>
    </xdr:from>
    <xdr:to>
      <xdr:col>0</xdr:col>
      <xdr:colOff>11606893</xdr:colOff>
      <xdr:row>35</xdr:row>
      <xdr:rowOff>188249</xdr:rowOff>
    </xdr:to>
    <xdr:pic>
      <xdr:nvPicPr>
        <xdr:cNvPr id="2" name="Picture 1" descr="This image shows a schedule timeline for several phases by task for a period of 14 months.&#10;&#10;Phase 1 is the Pre-Implementation Planning Phase, which lasts a total of 5 months and includes the following tasks:&#10;&#10;Task 1: &quot;Initiate Project&quot;, which starts in month 1 and has a duration of 1-month.&#10;&#10;Task 2: &quot;Document As-Is Process&quot;, which starts in month 1 and has a duration of 1-month.&#10;&#10;Task 3: &quot;Define To-Be Process&quot;, which starts in month 1 and has a duration of 3 months.&#10;&#10;Task 4: &quot;Define Systems Requirements&quot;, which starts in month 4 and has a duration of 1-month.&#10;&#10;Task 5: “Negotiate Purchase (State Contract )&quot;, which starts in month 5 and has a duration of 1-month.&#10;&#10;Phase 2 is the Systems Implementation Phase, which  starts after the Pre-Implementation Planning Phase is completed and lasts a total of 9 months. It includes the following tasks:&#10;&#10;Task 1: &quot;Initiate implementation phase&quot;, which starts in month 6 and has a duration of 1-month.&#10;&#10;Task 2:  &quot;Configure device for agency requirements&quot;, which starts in month 7 and has duration of 1-month.&#10;&#10;Task 3: &quot;Conduct conference room pilot, which starts in month 7 and has a duration of 1-month.&#10;&#10;Task 4: &quot;Identify gaps and confirm solutions&quot;, which starts in month 8 and has a duration of 1-month.&#10;&#10;Task 5: “Design and develop required adjustments&quot;, which starts in month 8 and has a duration of 1-month.&#10;&#10;Task 6: “Conduct field test”, which starts in month 9 and has a duration of 1 month.&#10;&#10;Task 7:”Prepare training material”, which starts in month 8 and has a 3-month duration. &#10;&#10;Task 8: &quot;Conduct user training&quot;, which starts in month 11 and has a 1-month duration.&#10;&#10;Task 9: “Initiate production cut-over - deploy to field&quot;, which starts in month 11 and has a duration of 3- months.&#10;&#10;Task 10: &quot;Provide production support”, which starts in month 11 and lasts 4 months&#10;&#10;Project Management is a key activity that lasts the entire duration of the project (14 months).&#10;&#10;Organization Change Management is another important activity that also lasts the entire duration of the project (14 months).&#10;&#10;Lastly, there is a legend at the bottom of the schedule showing the color coding for each phase." title="Figure 1. Timeline. Potential schedule for implementation of Digital Plans, Specifications, and Estimates.">
          <a:extLst>
            <a:ext uri="{FF2B5EF4-FFF2-40B4-BE49-F238E27FC236}">
              <a16:creationId xmlns:a16="http://schemas.microsoft.com/office/drawing/2014/main" id="{45A236D6-1821-49E3-B988-DB2EA15894F6}"/>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496"/>
        <a:stretch/>
      </xdr:blipFill>
      <xdr:spPr>
        <a:xfrm>
          <a:off x="0" y="2735036"/>
          <a:ext cx="11606893" cy="556307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6</xdr:row>
      <xdr:rowOff>163284</xdr:rowOff>
    </xdr:from>
    <xdr:to>
      <xdr:col>1</xdr:col>
      <xdr:colOff>54760</xdr:colOff>
      <xdr:row>33</xdr:row>
      <xdr:rowOff>176893</xdr:rowOff>
    </xdr:to>
    <xdr:pic>
      <xdr:nvPicPr>
        <xdr:cNvPr id="3" name="Picture 2" descr="This image shows a schedule timeline for several phases by task for a period of 6 months.&#10;&#10;Phase 1 is the Pre-Implementation Planning Phase, which lasts a total of 3 months and includes the following tasks:&#10;&#10;Task 1: &quot;Initiate Project&quot;, which starts in month 1 and has a duration of 1-month.&#10;&#10;Task 2: &quot;Define Systems Requirements&quot;, which starts in month 1 and has a duration of 2-month.&#10;&#10;Task 3: “Prepare RFP/Conduct Fit-Gap  Analysis”, which starts in month 2 and has a 1-month duration.&#10;&#10;Task 4: “Select software/systems integrator”, which starts in month 2 and has a 2-month duration.&#10;&#10;Task 5: “Negotiate contract”, which starts in  month 2 and has a duration of 2-months&#10;&#10;Phase 2 is the Systems Implementation Planning Phase, which starts after the Pre-Implementation Planning Phase is completed and lasts a total of 3 months. It includes the following tasks:&#10;&#10;Task 1: &quot;Initiate implementation phase&quot;, which starts in month 4 and has a duration of 1-month.&#10;&#10;Task 2:  &quot;Confirm systems requirements&quot;, which starts in month 4 and has duration of 1-month.&#10;&#10;Task 3: &quot;Train core agency project team, which starts in month 4 and has a duration of 1-month.&#10;&#10;Task 4: &quot;Configure software&quot;, which starts in month 4 and has a duration of 1-month.&#10;&#10;Task 5: “Conduct use acceptance test&quot;, which starts in month 4 and has a duration of 1-month.&#10;&#10;Task 6: “Convert existing documents to electronic documents”, which starts in month 4 and has a duration of 2 months.&#10;&#10;Task 7:”Prepare training materials and procedures”, which starts in month 4 and has a 1-month duration.&#10;&#10;Task 8: &quot;Conduct user training&quot;, which starts in month 5 and has a 1-month duration.&#10;&#10;Task 9: “Provide production support”, which starts in month 5 and has a 2-month duration.&#10;&#10;Project Management is a key activity that lasts the entire duration of the project (6 months).&#10;&#10;Organization Change Management is another important activity that also lasts the entire duration of the project (6 months).&#10;&#10;Lastly, there is a legend at the bottom of the schedule showing the color coding for each phase." title="Figure 1. Timeline. Potential schedule for implementation of digital review.">
          <a:extLst>
            <a:ext uri="{FF2B5EF4-FFF2-40B4-BE49-F238E27FC236}">
              <a16:creationId xmlns:a16="http://schemas.microsoft.com/office/drawing/2014/main" id="{EE9A96F2-090B-40BE-B066-3C961529DAB3}"/>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5403"/>
        <a:stretch/>
      </xdr:blipFill>
      <xdr:spPr>
        <a:xfrm>
          <a:off x="0" y="2340427"/>
          <a:ext cx="11212617" cy="515710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12700</xdr:colOff>
      <xdr:row>6</xdr:row>
      <xdr:rowOff>190500</xdr:rowOff>
    </xdr:from>
    <xdr:to>
      <xdr:col>0</xdr:col>
      <xdr:colOff>9779000</xdr:colOff>
      <xdr:row>38</xdr:row>
      <xdr:rowOff>127807</xdr:rowOff>
    </xdr:to>
    <xdr:pic>
      <xdr:nvPicPr>
        <xdr:cNvPr id="3" name="Picture 2" descr="This image shows a schedule timeline for several phases by task for a period of 22 months.&#10;&#10;Phase 1 is the Pre-Implementation Planning Phase, which lasts a total of 7 months and includes the following tasks:&#10;&#10;Task 1: &quot;Initiate Project&quot;, which starts in month 1 and has a duration of 1-month.&#10;&#10;Task 2: &quot;Document As-Is Process&quot;, which starts in month 1 and has a duration of 3-months.&#10;&#10;Task 3: &quot;Define To-Be Process&quot;, which starts in month 3 and has a duration of 3 months.&#10;&#10;Task 4: &quot;Define Systems Requirements&quot;, which starts in month 2 and has a duration of 4-months.&#10;&#10;Task 5: “Prepare RFP (statement of work)”, which starts in month 6 and has a duration of 1 month.&#10;&#10;Task 6: “Select software/system integrator”, which starts in month 6 and has a duration of 1 month&#10;“Negotiate contract&quot;, which starts in month 7 and has a duration of 1-month.&#10;&#10;Phase 2 is the Systems Implementation Phase, which starts after the Pre-Implementation Planning Phase is completed and lasts a total of 15 months. It includes the following tasks:&#10;&#10;Task 1: &quot;Initiate implementation phase&quot;, which starts in month 8 and has a duration of 1-month.&#10;&#10;Task 2:  &quot;Confirm system requirements&quot;, which starts in month 8 and has duration of 2-month.&#10;&#10;Task 3: “Train Core Agency Project Team”, which starts in month 9 and has a duration of 2 months.&#10;&#10;Task 4: &quot;Develop data conversion procedures”, which starts in month 9 and has a duration of 3-month.&#10;&#10;Task 5: &quot;Configure software&quot;, which starts in month 9 and has a duration of 3 months.&#10;&#10;Task 6: “Conduct conference room pilot&quot;, which starts in month 12 and has a duration of 1-month.&#10;&#10;Task 7: “Identify gaps and confirm solutions”, which starts in month 12 and has a duration of 2 months.&#10;&#10;Task 8: “Design and develop required customizations”, which starts in month 12 and has a duration of 2 months.&#10;&#10;Task 9: “Conduct system test”, which starts in month 16 and has a duration of 1 month.&#10;&#10;Task 10:”Conduct integration test”, which starts in month 17 and has a 1-month duration.&#10;&#10;Task 11: &quot;Execute mock conversion 1&quot;, which starts in month 18 and has a 1-month duration.&#10;&#10;Task 12: “Conduct user acceptance test”, which starts in month 18 and has a 1-month duration.&#10;&#10;Task 13: “Execute mock conversion 2”, which starts in month 19 and has a 1 month duration.&#10;&#10;Task 14: “Prepare training materials and procedures”, which starts in month 13 and has a 5-month duration.&#10;&#10;Task 15: “Conduct user training”, which starts in month 17 and has a 2-month duration.&#10;&#10;Task 16: “Perform data conversion and system cut-over&quot;, which starts in month 20 and has a duration of 1 month.&#10;&#10;Task 17: &quot;Provide production support”, which starts in month 20 and has a 3-month duration.&#10;&#10;Project Management is a key activity that lasts the entire duration of the project (22 months).&#10;&#10;Organization Change Management is another important activity that also lasts the entire duration of the project (22 months).&#10;&#10;Lastly, there is a legend at the bottom of the schedule showing the color coding for each phase." title="Figure 1. Timeline. Potential schedule for implementation of a Project Construction Management system.">
          <a:extLst>
            <a:ext uri="{FF2B5EF4-FFF2-40B4-BE49-F238E27FC236}">
              <a16:creationId xmlns:a16="http://schemas.microsoft.com/office/drawing/2014/main" id="{B5E061AD-8055-4781-9CCC-BAD56D6A38EF}"/>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4224"/>
        <a:stretch/>
      </xdr:blipFill>
      <xdr:spPr>
        <a:xfrm>
          <a:off x="12700" y="2425700"/>
          <a:ext cx="9766300" cy="643970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6</xdr:row>
      <xdr:rowOff>149680</xdr:rowOff>
    </xdr:from>
    <xdr:to>
      <xdr:col>0</xdr:col>
      <xdr:colOff>10559143</xdr:colOff>
      <xdr:row>42</xdr:row>
      <xdr:rowOff>88151</xdr:rowOff>
    </xdr:to>
    <xdr:pic>
      <xdr:nvPicPr>
        <xdr:cNvPr id="3" name="Picture 2" descr="This image shows a schedule timeline for several phases by task for a period of 21 months.&#10;&#10;Phase 1 is the Pre-Implementation Planning Phase, which lasts a total of 8 months and includes the following tasks:&#10;&#10;Task 1: &quot;Initiate Project&quot;, which starts in month 1 and has a duration of 1-month.&#10;&#10;Task 2: &quot;Document As-Is Process&quot;, which starts in month 1 and has a duration of 2-months.&#10;&#10;Task 3: &quot;Define To-Be Process&quot;, which starts in month 2 and has a duration of 3 months.&#10;&#10;Task 4: &quot;Define Systems Requirements&quot;, which starts in month 4 and has a duration of 2 months.&#10;&#10;Task 5: “Prepare RFP (statement of work)”, which starts in month 5 and has a duration of 2 months.&#10;&#10;Task 6: “Select software/system integrator”, which starts in month 7 and has a duration of 1 month.&#10;&#10;Task 7: “Negotiate contract&quot;, which starts in month 7 and has a duration of 2 months.&#10;&#10;Phase 2 is the Systems Implementation Phase, which starts after the Pre-Implementation Planning Phase is completed and lasts a total of 13 months. It includes the following tasks:&#10;&#10;Task 1: &quot;Initiate implementation phase&quot;, which starts in month 9 and has a duration of 1-month.&#10;&#10;Task 2:  &quot;Confirm system requirements&quot;, which starts in month 9 and has duration of 1-month.&#10;&#10;Task 3: “Train Core Agency Project Team”, which starts in month 9 and has a duration of 2 months.&#10;&#10;Task 4: &quot;Configure software&quot;, which starts in month 11 and has a duration of 1 month.&#10;&#10;Task 5: “Conduct conference room pilot&quot;, which starts in month 12 and has a duration of 1 month.&#10;&#10;Task 6: “Identify gaps and confirm solutions”, which starts in month 13 and has a duration of 1 month.&#10;&#10;Task 7: “Design and develop required customizations”, which starts in month 12 and has a &#10;duration of 5 months.&#10;&#10;Task 8: “Conduct system test”, which starts in month 16 and has a duration of 1 month.&#10;&#10;Task 9:”Conduct integration test”, which starts in month 16 and has a 2-month duration.&#10;&#10;Task 10: &quot;Execute mock conversion 1&quot;, which starts in month 18 and has a 1-month duration.&#10;&#10;Task 11: “Conduct user acceptance test”, which starts in month 18 and has a 1-month duration.&#10;&#10;Task 12: “Execute mock conversion 2”, which starts in month 19 and has a 1 month duration.&#10;&#10;Task 13: “Prepare training materials and procedures”, which starts in month 15 and has a 4-month duration.&#10;&#10;Task 14: “Conduct user training”, which starts in month 17 and has a 2-month duration.&#10;&#10;Task 15: “Perform data conversion and system cut-over&quot;, which starts in month 16 and has a duration of 2 months.&#10;&#10;Task 16: &quot;Provide production support”, which starts in month 20 and has a 3-month duration.&#10;&#10;Project Management is a key activity that lasts the entire duration of the project (21 months).&#10;&#10;Organization Change Management is another important activity that also lasts the entire duration of the project (21 months).&#10;&#10;Lastly, there is a legend at the bottom of the schedule showing the color coding for each phase." title="Figure 1. Timeline. Potential schedule for implementation of a project collaboration tool.">
          <a:extLst>
            <a:ext uri="{FF2B5EF4-FFF2-40B4-BE49-F238E27FC236}">
              <a16:creationId xmlns:a16="http://schemas.microsoft.com/office/drawing/2014/main" id="{30F7F820-1083-46B9-B188-39738AF9B7A2}"/>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681"/>
        <a:stretch/>
      </xdr:blipFill>
      <xdr:spPr>
        <a:xfrm>
          <a:off x="0" y="1905001"/>
          <a:ext cx="10559143" cy="6796471"/>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13608</xdr:colOff>
      <xdr:row>7</xdr:row>
      <xdr:rowOff>13606</xdr:rowOff>
    </xdr:from>
    <xdr:to>
      <xdr:col>0</xdr:col>
      <xdr:colOff>10940143</xdr:colOff>
      <xdr:row>33</xdr:row>
      <xdr:rowOff>32314</xdr:rowOff>
    </xdr:to>
    <xdr:pic>
      <xdr:nvPicPr>
        <xdr:cNvPr id="3" name="Picture 2" descr="This image shows a schedule timeline for several phases by task for a period of 6 months.&#10;&#10;Phase 1 is the Pre-Implementation Planning Phase, which lasts a total of 3 months and includes the following tasks:&#10;&#10;Task 1: &quot;Initiate Project&quot;, which starts in month 1 and has a duration of 1-month.&#10;&#10;Task 2: &quot;Define Systems Requirements&quot;, which starts in month 1 and has a duration of 2-month.&#10;&#10;Task 3: “Prepare RFP/Conduct Fit-Gap Analysis”, which starts in month 2 and has a 1-month duration.&#10;&#10;Task 4: “Select software/systems integrator”, which starts in month 2 and has a 2-month duration.&#10;&#10;Task 5: “Negotiate contract”, which starts in month 2 and has a duration of 2-months.&#10;&#10;Phase 2 is the Systems Implementation Phase, which  starts after the Pre-Implementation Planning Phase and lasts a total of 3 months. It includes the following tasks:&#10;&#10;Task 1: &quot;Initiate implementation phase&quot;, which starts in month 4 and has a duration of 1-month.&#10;&#10;Task 2:  &quot;Confirm systems requirements&quot;, which starts in month 4 and has duration of 1-month.&#10;&#10;Task 3: &quot;Train core agency project team, which starts in month 4 and has a duration of 1-month.&#10;&#10;Task 4: &quot;Configure software&quot;, which starts in month 4 and has a duration of 1-month.&#10;&#10;Task 5: “Conduct user acceptance test&quot;, which starts in month 4 and has a duration of 1-month.&#10;&#10;Task 6: “Convert existing documents to electronic documents”, which starts in month 4 and has a duration of 2 months.&#10;&#10;Task 7:”Prepare training materials and procedures”, which starts in month 4 and has a 1-month duration.&#10;&#10;Task 8: &quot;Conduct user training&quot;, which starts in month 5 and has a 1-month duration.&#10;&#10;Task 9: “Provide production support”, which starts in month 5 and has a 2-month duration.&#10;&#10;Project Management is a key activity that lasts the entire duration of the project (6 months).&#10;&#10;Organization Change Management is another important activity that also lasts the entire duration of the project (6 months).&#10;&#10;Lastly, there is a legend at the bottom of the schedule showing the color coding for each phase." title="Figure 1. Timeline. Potential schedule for the implementation of requirements for digital as-built records.">
          <a:extLst>
            <a:ext uri="{FF2B5EF4-FFF2-40B4-BE49-F238E27FC236}">
              <a16:creationId xmlns:a16="http://schemas.microsoft.com/office/drawing/2014/main" id="{8A2C2553-5316-49B5-BAC7-1F77F8CE0C91}"/>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6416"/>
        <a:stretch/>
      </xdr:blipFill>
      <xdr:spPr>
        <a:xfrm>
          <a:off x="13608" y="2299606"/>
          <a:ext cx="10926535" cy="497170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54429</xdr:colOff>
      <xdr:row>7</xdr:row>
      <xdr:rowOff>0</xdr:rowOff>
    </xdr:from>
    <xdr:to>
      <xdr:col>0</xdr:col>
      <xdr:colOff>12137571</xdr:colOff>
      <xdr:row>37</xdr:row>
      <xdr:rowOff>60704</xdr:rowOff>
    </xdr:to>
    <xdr:pic>
      <xdr:nvPicPr>
        <xdr:cNvPr id="2" name="Picture 1" descr="This image shows a schedule timeline for several phases by task for a period of 13 months.&#10;&#10;Phase 1 is the Pre-Implementation Planning Phase, which lasts a total of 4 months and includes the following tasks:&#10;&#10;Task 1: &quot;Initiate Project&quot;, which starts in month 1 and has a duration of 1-month.&#10;&#10;Task 2: &quot;Document As-Is Process&quot;, which starts in month 1 and has a duration of 1-month.&#10;&#10;Task 3: &quot;Define To-Be Process&quot;, which starts in month 1 and has a duration of 2 months.&#10;&#10;Task 4: &quot;Define Systems Requirements&quot;, which starts in month 3 and has a duration of 1-month.&#10;&#10;Task 5: “Negotiate Purchase (State Contract )&quot;, which starts in month 4 and has a duration of 1-month.&#10;&#10;Phase 2 is the Systems Implementation Phase, which starts after the Pre-Implementation Planning Phase is completed and lasts a total of 9 months. It includes the the following tasks:&#10;&#10;Task 1: &quot;Initiate implementation phase&quot;, which starts in month 5 and has a duration of 1-month.&#10;&#10;Task 2:  &quot;Configure device for agency requirements&quot;, which starts in month 6 and has duration of 1-month.&#10;&#10;Task 3: &quot;Conduct conference room pilot, which starts in month 6 and has a duration of 1-month.&#10;&#10;Task 4: &quot;Identify gaps and confirm solutions&quot;, which starts in month 7 and has a duration of 1-month.&#10;&#10;Task 5: “Design and develop required adjustments&quot;, which starts in month 7 and has a duration of 1-month.&#10;&#10;Task 6: “Conduct field test”, which starts in month 8 and has a duration of 1 month.&#10;&#10;Task 7:”Prepare training material”, which starts in month 7 and has a 3-month duration.&#10;&#10;Task 8: &quot;Conduct user training&quot;, which starts in month 10 and has a 1-month duration.&#10;&#10;Task 9: “Initiate production cut-over - deploy to field&quot;, which starts in month 10 and has a duration of 3- months.&#10;&#10;Task 10: &quot;Provide production support”, which starts in month 10 and lasts 4 months.&#10;&#10;Project Management is a key activity that lasts the entire duration of the project (13 months).&#10;&#10;Organization Change Management is another important activity that also lasts the entire duration of the project (13 months).&#10;&#10;Lastly, there is a legend at the bottom of the schedule showing the symbols for each phase." title="Figure 1. Timeline. Potential schedule for the implementation of mobile devices.">
          <a:extLst>
            <a:ext uri="{FF2B5EF4-FFF2-40B4-BE49-F238E27FC236}">
              <a16:creationId xmlns:a16="http://schemas.microsoft.com/office/drawing/2014/main" id="{69BA8CFF-191C-422E-8828-EF1FB6ED80D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511"/>
        <a:stretch/>
      </xdr:blipFill>
      <xdr:spPr>
        <a:xfrm>
          <a:off x="54429" y="2231571"/>
          <a:ext cx="12083142" cy="5775704"/>
        </a:xfrm>
        <a:prstGeom prst="rect">
          <a:avLst/>
        </a:prstGeom>
      </xdr:spPr>
    </xdr:pic>
    <xdr:clientData/>
  </xdr:twoCellAnchor>
</xdr:wsDr>
</file>

<file path=xl/tables/table1.xml><?xml version="1.0" encoding="utf-8"?>
<table xmlns="http://schemas.openxmlformats.org/spreadsheetml/2006/main" id="22" name="Table1" displayName="Table1" ref="A8:B11" totalsRowShown="0" headerRowDxfId="396" dataDxfId="395" tableBorderDxfId="394">
  <autoFilter ref="A8:B11"/>
  <tableColumns count="2">
    <tableColumn id="1" name="Worksheet Tab" dataDxfId="393"/>
    <tableColumn id="2" name="Description" dataDxfId="392"/>
  </tableColumns>
  <tableStyleInfo name="TableStyleMedium2" showFirstColumn="0" showLastColumn="0" showRowStripes="1" showColumnStripes="0"/>
  <extLst>
    <ext xmlns:x14="http://schemas.microsoft.com/office/spreadsheetml/2009/9/main" uri="{504A1905-F514-4f6f-8877-14C23A59335A}">
      <x14:table altText="Table 1. Description of worksheet tabs used in the ROI template." altTextSummary="This table provides a brief description for each of the tab types (i.e., inputs, BCA, and timeline) used in this tool."/>
    </ext>
  </extLst>
</table>
</file>

<file path=xl/tables/table10.xml><?xml version="1.0" encoding="utf-8"?>
<table xmlns="http://schemas.openxmlformats.org/spreadsheetml/2006/main" id="31" name="Table10" displayName="Table10" ref="A11:I14" totalsRowShown="0" headerRowDxfId="331" dataDxfId="330" tableBorderDxfId="329">
  <autoFilter ref="A11:I14"/>
  <tableColumns count="9">
    <tableColumn id="1" name="Benefits (Quantifiable) (O)" dataDxfId="328"/>
    <tableColumn id="2" name="Total (O)" dataCellStyle="Output"/>
    <tableColumn id="3" name="Year 1 (O)" dataCellStyle="Output"/>
    <tableColumn id="4" name="Year 2 (O)" dataCellStyle="Output"/>
    <tableColumn id="5" name="Year 3 (O)" dataCellStyle="Output"/>
    <tableColumn id="6" name="Year 4 (O)" dataCellStyle="Output"/>
    <tableColumn id="7" name="Year 5 (O)" dataCellStyle="Output"/>
    <tableColumn id="8" name="Year 6 (O)" dataCellStyle="Output"/>
    <tableColumn id="9" name="Year 7 (O)" dataCellStyle="Output"/>
  </tableColumns>
  <tableStyleInfo name="TableStyleMedium2" showFirstColumn="0" showLastColumn="0" showRowStripes="1" showColumnStripes="0"/>
  <extLst>
    <ext xmlns:x14="http://schemas.microsoft.com/office/spreadsheetml/2009/9/main" uri="{504A1905-F514-4f6f-8877-14C23A59335A}">
      <x14:table altText="Table. Benefits (Quantifiable) for Electronic Bidding and Contract Award." altTextSummary="This table includes the total benefits and the benefits realized in each year (over 7 years) for implementing an Electronic Bidding and Contract Award solution. The benefit streams were previously identified in Table 2."/>
    </ext>
  </extLst>
</table>
</file>

<file path=xl/tables/table11.xml><?xml version="1.0" encoding="utf-8"?>
<table xmlns="http://schemas.openxmlformats.org/spreadsheetml/2006/main" id="32" name="Table11" displayName="Table11" ref="A16:I30" totalsRowShown="0" headerRowDxfId="327" dataDxfId="326" tableBorderDxfId="325">
  <autoFilter ref="A16:I30"/>
  <tableColumns count="9">
    <tableColumn id="1" name="Costs (O)" dataDxfId="324"/>
    <tableColumn id="2" name="Total (O)" dataDxfId="323" dataCellStyle="Output"/>
    <tableColumn id="3" name="Year 1 (O)" dataCellStyle="Output"/>
    <tableColumn id="4" name="Year 2 (O)" dataCellStyle="Output"/>
    <tableColumn id="5" name="Year 3 (O)" dataCellStyle="Output"/>
    <tableColumn id="6" name="Year 4 (O)" dataCellStyle="Output"/>
    <tableColumn id="7" name="Year 5 (O)" dataCellStyle="Output"/>
    <tableColumn id="8" name="Year 6 (O)" dataCellStyle="Output"/>
    <tableColumn id="9" name="Year 7 (O)" dataCellStyle="Output"/>
  </tableColumns>
  <tableStyleInfo name="TableStyleMedium2" showFirstColumn="0" showLastColumn="0" showRowStripes="1" showColumnStripes="0"/>
  <extLst>
    <ext xmlns:x14="http://schemas.microsoft.com/office/spreadsheetml/2009/9/main" uri="{504A1905-F514-4f6f-8877-14C23A59335A}">
      <x14:table altText="Table. Costs, Net Benefit, and Cumulative Benefit for Electronic Bidding and Contract Award." altTextSummary="This table includes total costs and year by year costs (over 7 years) for implementing an Electronic Bidding and Contract Award solution, as identified in Table 4. _x000d__x000a__x000d__x000a_In addition, this table also calculates the Net Benefit (total benefits minus costs) for each year and the Cumulative Benefit (in the last two rows), using the Benefits included in the Benefits table above."/>
    </ext>
  </extLst>
</table>
</file>

<file path=xl/tables/table12.xml><?xml version="1.0" encoding="utf-8"?>
<table xmlns="http://schemas.openxmlformats.org/spreadsheetml/2006/main" id="2" name="Table12" displayName="Table12" ref="A11:D20" totalsRowShown="0" headerRowDxfId="322" dataDxfId="320" headerRowBorderDxfId="321" tableBorderDxfId="319" totalsRowBorderDxfId="318">
  <autoFilter ref="A11:D20"/>
  <tableColumns count="4">
    <tableColumn id="1" name="Input Category (I)" dataDxfId="317" dataCellStyle="Input"/>
    <tableColumn id="2" name="Input (I)" dataDxfId="316" dataCellStyle="Input"/>
    <tableColumn id="3" name="Notes/Assumptions (N)" dataDxfId="315" dataCellStyle="Note"/>
    <tableColumn id="4" name="Benchmark Data (N)" dataDxfId="314" dataCellStyle="Note"/>
  </tableColumns>
  <tableStyleInfo showFirstColumn="0" showLastColumn="0" showRowStripes="1" showColumnStripes="0"/>
  <extLst>
    <ext xmlns:x14="http://schemas.microsoft.com/office/spreadsheetml/2009/9/main" uri="{504A1905-F514-4f6f-8877-14C23A59335A}">
      <x14:table altText="Table 1. Benefit Inputs for Digital Plans, Specifications, and Estimates." altTextSummary="TThis table is intended for the user to enter in benefit inputs to calculate benefits streams for Digital Plans, Specifications, and Estimates. The table states the inputs and provides default values for each input. Notes and Assumptions are provided to state the assumptions used to develop the default inputs and guidance is included to help agencies develop their own values. Benchmark data is also provided for each input, where available."/>
    </ext>
  </extLst>
</table>
</file>

<file path=xl/tables/table13.xml><?xml version="1.0" encoding="utf-8"?>
<table xmlns="http://schemas.openxmlformats.org/spreadsheetml/2006/main" id="3" name="Table13" displayName="Table13" ref="A11:J14" totalsRowShown="0" headerRowDxfId="313" dataDxfId="312" tableBorderDxfId="311" dataCellStyle="Percent">
  <autoFilter ref="A11:J14"/>
  <tableColumns count="10">
    <tableColumn id="1" name="Anticipated Benefit Stream (I)" dataCellStyle="Input"/>
    <tableColumn id="2" name="Calculation/Assumptions (N)" dataDxfId="310" dataCellStyle="Note"/>
    <tableColumn id="3" name="Anticipated Benefits (in $) (O)" dataDxfId="309" dataCellStyle="Output"/>
    <tableColumn id="4" name="% of Benefits Realized in Year 1 (I)" dataDxfId="308" dataCellStyle="Input"/>
    <tableColumn id="5" name="% of Benefits Realized in Year 2 (I)" dataDxfId="307" dataCellStyle="Input"/>
    <tableColumn id="6" name="% of Benefits Realized in Year 3 (I)" dataDxfId="306" dataCellStyle="Input"/>
    <tableColumn id="7" name="% of Benefits Realized in Year 4 (I)" dataDxfId="305" dataCellStyle="Input"/>
    <tableColumn id="8" name="% of Benefits Realized in Year 5 (I)" dataDxfId="304" dataCellStyle="Input"/>
    <tableColumn id="9" name="% of Benefits Realized in Year 6 (I)" dataDxfId="303" dataCellStyle="Input"/>
    <tableColumn id="10" name="% of Benefits Realized in Year 7 (I)" dataDxfId="302" dataCellStyle="Input"/>
  </tableColumns>
  <tableStyleInfo showFirstColumn="0" showLastColumn="0" showRowStripes="1" showColumnStripes="0"/>
  <extLst>
    <ext xmlns:x14="http://schemas.microsoft.com/office/spreadsheetml/2009/9/main" uri="{504A1905-F514-4f6f-8877-14C23A59335A}">
      <x14:table altText="Table 2. Anticipated Benefit Streams and Percentage Realized by Year for Digital Plans, Specifications, and Estimates." altTextSummary="This table identifies the anticipated benefit streams for Digital Plans, Specifications, and Estimates, using the benefit inputs entered in Table 1 in the previous tab to calculate the anticipated benefits._x000d__x000a__x000d__x000a_The table states the anticipated benefit stream, provides the calculations and assumptions that demonstrate how the benefit streams were calculated using the inputs in Table 1, and the total anticipated benefits. In addition, the table also allows the user to enter the % of benefits realized in each year (for up to seven years), since it may take a few years until an agency starts to realize benefits (to account for the time it takes to institutionalize the system, get users acquainted with the system, etc.)._x000d__x000a__x000d__x000a_7 years is the default timeframe that is used because it covers a longer timeframe than implementation and captures the full benefits realization for at least a couple of years. We are also assuming that hardware/software upgrade cycles occur every 3 to 5 years, which falls within this 7 year timeframe."/>
    </ext>
  </extLst>
</table>
</file>

<file path=xl/tables/table14.xml><?xml version="1.0" encoding="utf-8"?>
<table xmlns="http://schemas.openxmlformats.org/spreadsheetml/2006/main" id="4" name="Table14" displayName="Table14" ref="A11:F16" totalsRowShown="0" headerRowDxfId="301" dataDxfId="299" headerRowBorderDxfId="300" tableBorderDxfId="298" totalsRowBorderDxfId="297" dataCellStyle="Currency">
  <autoFilter ref="A11:F16"/>
  <tableColumns count="6">
    <tableColumn id="1" name="Staff (I)" dataDxfId="296" dataCellStyle="Input"/>
    <tableColumn id="2" name="Time (# of Years) (I)" dataDxfId="295" dataCellStyle="Input"/>
    <tableColumn id="3" name="FTE (I)" dataDxfId="294" dataCellStyle="Input"/>
    <tableColumn id="4" name="Base Salary (I)" dataDxfId="293" dataCellStyle="Input"/>
    <tableColumn id="5" name="Overhead Rate (I)" dataDxfId="292" dataCellStyle="Input"/>
    <tableColumn id="6" name="(Salary + Overhead) * FTE* # of Years (O)" dataDxfId="291" dataCellStyle="Output"/>
  </tableColumns>
  <tableStyleInfo showFirstColumn="0" showLastColumn="0" showRowStripes="1" showColumnStripes="0"/>
  <extLst>
    <ext xmlns:x14="http://schemas.microsoft.com/office/spreadsheetml/2009/9/main" uri="{504A1905-F514-4f6f-8877-14C23A59335A}">
      <x14:table altText="Table 3. Staff Costs for Implementation and Ongoing Support for Digital Plans, Specifications, and Estimates." altTextSummary="This table identifies the staff positions and associated costs for implementing Digital Plans, Specifications, and Estimates and ongoing support._x000d__x000a__x000d__x000a_Staff positions for each improvement opportunity will vary._x000d__x000a__x000d__x000a_The table includes the name of the staff position, and several data points that are used to calculate the total cost for each position (in the last column, Column F): the time (in the number of years) that the staff position is required, the number of FTEs needed, base salary of the staff position, and overhead rate."/>
    </ext>
  </extLst>
</table>
</file>

<file path=xl/tables/table15.xml><?xml version="1.0" encoding="utf-8"?>
<table xmlns="http://schemas.openxmlformats.org/spreadsheetml/2006/main" id="5" name="Table15" displayName="Table15" ref="A11:J22" totalsRowShown="0" headerRowDxfId="290" dataDxfId="288" headerRowBorderDxfId="289" tableBorderDxfId="287" totalsRowBorderDxfId="286" dataCellStyle="Currency">
  <autoFilter ref="A11:J22"/>
  <tableColumns count="10">
    <tableColumn id="1" name="Costs (I)" dataDxfId="285" dataCellStyle="Input"/>
    <tableColumn id="2" name="Notes/Assumptions (N)" dataDxfId="284" dataCellStyle="Note"/>
    <tableColumn id="3" name="Total Cost (O)" dataDxfId="283" dataCellStyle="Output">
      <calculatedColumnFormula>SUM(D12:J12)</calculatedColumnFormula>
    </tableColumn>
    <tableColumn id="4" name="Cost Incurred in Year 1 (I)" dataDxfId="282" dataCellStyle="Input"/>
    <tableColumn id="5" name="Cost Incurred in Year 2 (I)" dataDxfId="281" dataCellStyle="Input"/>
    <tableColumn id="6" name="Cost Incurred in Year 3 (I)" dataDxfId="280" dataCellStyle="Input"/>
    <tableColumn id="7" name="Cost Incurred in Year 4 (I)" dataDxfId="279" dataCellStyle="Input"/>
    <tableColumn id="8" name="Cost Incurred in Year 5 (I)" dataDxfId="278" dataCellStyle="Input"/>
    <tableColumn id="9" name="Cost Incurred in Year 6 (I)" dataDxfId="277" dataCellStyle="Input"/>
    <tableColumn id="10" name="Cost Incurred in Year 7 (I)" dataDxfId="276" dataCellStyle="Input"/>
  </tableColumns>
  <tableStyleInfo showFirstColumn="0" showLastColumn="0" showRowStripes="1" showColumnStripes="0"/>
  <extLst>
    <ext xmlns:x14="http://schemas.microsoft.com/office/spreadsheetml/2009/9/main" uri="{504A1905-F514-4f6f-8877-14C23A59335A}">
      <x14:table altText="Table 4. Total Costs and Costs Incurred by Year for Digital Plans, Specifications, and Estimates." altTextSummary="This table identifies the costs for implementing Digital Plans, Specifications, and Estimates._x000d__x000a__x000d__x000a_We are assuming that the agency has no existing software licensing in place and that the agency is implementing a commercial off the shelf system._x000d__x000a__x000d__x000a_Costs will vary by improvement opportunity. _x000d__x000a__x000d__x000a_This table includes the name of the cost category, the notes and assumptions used to develop the default inputs and guide the user to modify the costs according to its construction program, the total cost, and the costs incurred in each year. Costs should be inputted in the year they are incurred."/>
    </ext>
  </extLst>
</table>
</file>

<file path=xl/tables/table16.xml><?xml version="1.0" encoding="utf-8"?>
<table xmlns="http://schemas.openxmlformats.org/spreadsheetml/2006/main" id="6" name="Table16" displayName="Table16" ref="A11:I15" totalsRowShown="0" headerRowDxfId="275" tableBorderDxfId="274">
  <autoFilter ref="A11:I15"/>
  <tableColumns count="9">
    <tableColumn id="1" name="Benefits (Quantifiable) (O)" dataDxfId="273"/>
    <tableColumn id="2" name="Total (O)" dataDxfId="272"/>
    <tableColumn id="3" name="Year 1 (O)"/>
    <tableColumn id="4" name="Year 2 (O)"/>
    <tableColumn id="5" name="Year 3 (O)"/>
    <tableColumn id="6" name="Year 4 (O)"/>
    <tableColumn id="7" name="Year 5 (O)"/>
    <tableColumn id="8" name="Year 6 (O)"/>
    <tableColumn id="9" name="Year 7 (O)"/>
  </tableColumns>
  <tableStyleInfo showFirstColumn="0" showLastColumn="0" showRowStripes="1" showColumnStripes="0"/>
  <extLst>
    <ext xmlns:x14="http://schemas.microsoft.com/office/spreadsheetml/2009/9/main" uri="{504A1905-F514-4f6f-8877-14C23A59335A}">
      <x14:table altText="Table. Benefits (Quantifiable) for Digital Plans, Specifications, and Estimates." altTextSummary="This table includes the total benefits and the benefits realized in each year (over 7 years) for implementing Digital Plans, Specifications, and Estimates. The benefit streams were previously identified in Table 2."/>
    </ext>
  </extLst>
</table>
</file>

<file path=xl/tables/table17.xml><?xml version="1.0" encoding="utf-8"?>
<table xmlns="http://schemas.openxmlformats.org/spreadsheetml/2006/main" id="7" name="Table17" displayName="Table17" ref="A17:I31" totalsRowShown="0" headerRowDxfId="271" tableBorderDxfId="270">
  <autoFilter ref="A17:I31"/>
  <tableColumns count="9">
    <tableColumn id="1" name="Costs (O)" dataDxfId="269"/>
    <tableColumn id="2" name="Total (O)" dataCellStyle="Output"/>
    <tableColumn id="3" name="Year 1 (O)" dataCellStyle="Output"/>
    <tableColumn id="4" name="Year 2 (O)" dataCellStyle="Output"/>
    <tableColumn id="5" name="Year 3 (O)" dataCellStyle="Output"/>
    <tableColumn id="6" name="Year 4 (O)" dataCellStyle="Output"/>
    <tableColumn id="7" name="Year 5 (O)" dataCellStyle="Output"/>
    <tableColumn id="8" name="Year 6 (O)" dataCellStyle="Output"/>
    <tableColumn id="9" name="Year 7 (O)" dataCellStyle="Output"/>
  </tableColumns>
  <tableStyleInfo showFirstColumn="0" showLastColumn="0" showRowStripes="1" showColumnStripes="0"/>
  <extLst>
    <ext xmlns:x14="http://schemas.microsoft.com/office/spreadsheetml/2009/9/main" uri="{504A1905-F514-4f6f-8877-14C23A59335A}">
      <x14:table altText="Table. Costs, Net Benefit, and Cumulative Benefit for Digital Plans, Specifications, and Estimates." altTextSummary="This table includes total costs and year by year costs (over 7 years) for implementing Digital Plans, Specifications, and Estimates, as identified in Table 4. _x000d__x000a__x000d__x000a_In addition, this table also calculates the Net Benefit (total benefits minus costs) for each year and the Cumulative Benefit (in the last two rows), using the Benefits included in the Benefits table above."/>
    </ext>
  </extLst>
</table>
</file>

<file path=xl/tables/table18.xml><?xml version="1.0" encoding="utf-8"?>
<table xmlns="http://schemas.openxmlformats.org/spreadsheetml/2006/main" id="8" name="Table18" displayName="Table18" ref="A11:D18" totalsRowShown="0" headerRowDxfId="268" tableBorderDxfId="267">
  <autoFilter ref="A11:D18"/>
  <tableColumns count="4">
    <tableColumn id="1" name="Input Category (I)" dataCellStyle="Input"/>
    <tableColumn id="2" name="Input (I)" dataCellStyle="Input"/>
    <tableColumn id="3" name="Notes/Assumptions (N)" dataDxfId="266" dataCellStyle="Note"/>
    <tableColumn id="4" name="Benchmark Data (N)" dataDxfId="265" dataCellStyle="Note"/>
  </tableColumns>
  <tableStyleInfo showFirstColumn="0" showLastColumn="0" showRowStripes="1" showColumnStripes="0"/>
  <extLst>
    <ext xmlns:x14="http://schemas.microsoft.com/office/spreadsheetml/2009/9/main" uri="{504A1905-F514-4f6f-8877-14C23A59335A}">
      <x14:table altText="Table 1. Benefit Inputs for Digital Review." altTextSummary="This table is intended for the user to enter in benefit inputs to calculate benefits streams for Digital Review. The table states the inputs and provides default values for each input. Notes and Assumptions are provided to state the assumptions used to develop the default inputs and guidance is included to help agencies develop their own values. Benchmark data is also provided for each input, where available."/>
    </ext>
  </extLst>
</table>
</file>

<file path=xl/tables/table19.xml><?xml version="1.0" encoding="utf-8"?>
<table xmlns="http://schemas.openxmlformats.org/spreadsheetml/2006/main" id="9" name="Table19" displayName="Table19" ref="A11:J13" totalsRowShown="0" headerRowDxfId="264" dataDxfId="263" tableBorderDxfId="262" dataCellStyle="Percent">
  <autoFilter ref="A11:J13"/>
  <tableColumns count="10">
    <tableColumn id="1" name="Anticipated Benefit Stream (I)" dataCellStyle="Input"/>
    <tableColumn id="2" name="Calculation/Assumptions (N)" dataDxfId="261" dataCellStyle="Note"/>
    <tableColumn id="3" name="Anticipated Benefits (in $) (O)" dataDxfId="260" dataCellStyle="Output">
      <calculatedColumnFormula>'Dig Review - Inputs 1'!B15*'Dig Review - Inputs 1'!B16*'Dig Review - Inputs 1'!B17*'Dig Review - Inputs 1'!B12</calculatedColumnFormula>
    </tableColumn>
    <tableColumn id="4" name="% of Benefits Realized in Year 1 (I)" dataDxfId="259" dataCellStyle="Input"/>
    <tableColumn id="5" name="% of Benefits Realized in Year 2 (I)" dataDxfId="258" dataCellStyle="Input"/>
    <tableColumn id="6" name="% of Benefits Realized in Year 3 (I)" dataDxfId="257" dataCellStyle="Input"/>
    <tableColumn id="7" name="% of Benefits Realized in Year 4 (I)" dataDxfId="256" dataCellStyle="Input"/>
    <tableColumn id="8" name="% of Benefits Realized in Year 5 (I)" dataDxfId="255" dataCellStyle="Input"/>
    <tableColumn id="9" name="% of Benefits Realized in Year 6 (I)" dataDxfId="254" dataCellStyle="Input"/>
    <tableColumn id="10" name="% of Benefits Realized in Year 7 (I)" dataDxfId="253" dataCellStyle="Input"/>
  </tableColumns>
  <tableStyleInfo showFirstColumn="0" showLastColumn="0" showRowStripes="1" showColumnStripes="0"/>
  <extLst>
    <ext xmlns:x14="http://schemas.microsoft.com/office/spreadsheetml/2009/9/main" uri="{504A1905-F514-4f6f-8877-14C23A59335A}">
      <x14:table altText="Anticipated Benefit Streams and Percentage Realized by Year for Digital Review." altTextSummary="This table identifies the anticipated benefit streams for Digital Review, using the benefit inputs entered in Table 1 in the previous tab to calculate the anticipated benefits._x000d__x000a__x000d__x000a_The table states the anticipated benefit stream, provides the calculations and assumptions that demonstrate how the benefit streams were calculated using the inputs in Table 1, and the total anticipated benefits. In addition, the table also allows the user to enter the % of benefits realized in each year (for up to seven years), since it may take a few years until an agency starts to realize benefits (to account for the time it takes to institutionalize the system, get users acquainted with the system, etc.)._x000d__x000a__x000d__x000a_7 years is the default timeframe that is used because it covers a longer timeframe than implementation and captures the full benefits realization for at least a couple of years. We are also assuming that hardware/software upgrade cycles occur every 3 to 5 years, which falls within this 7 year timeframe."/>
    </ext>
  </extLst>
</table>
</file>

<file path=xl/tables/table2.xml><?xml version="1.0" encoding="utf-8"?>
<table xmlns="http://schemas.openxmlformats.org/spreadsheetml/2006/main" id="23" name="Table2" displayName="Table2" ref="A8:B11" totalsRowShown="0" headerRowDxfId="391" dataDxfId="390" tableBorderDxfId="389">
  <autoFilter ref="A8:B11"/>
  <tableColumns count="2">
    <tableColumn id="1" name="Abbreviation" dataDxfId="388"/>
    <tableColumn id="2" name="Definition" dataDxfId="387"/>
  </tableColumns>
  <tableStyleInfo name="TableStyleMedium2" showFirstColumn="0" showLastColumn="0" showRowStripes="1" showColumnStripes="0"/>
  <extLst>
    <ext xmlns:x14="http://schemas.microsoft.com/office/spreadsheetml/2009/9/main" uri="{504A1905-F514-4f6f-8877-14C23A59335A}">
      <x14:table altText="Table 2. Legend for Input Tabs." altTextSummary="This table defines the abbreviations used to indicate the different types of cells (i.e., inputs, outputs, and notes) throughout the tool."/>
    </ext>
  </extLst>
</table>
</file>

<file path=xl/tables/table20.xml><?xml version="1.0" encoding="utf-8"?>
<table xmlns="http://schemas.openxmlformats.org/spreadsheetml/2006/main" id="10" name="Table20" displayName="Table20" ref="A11:F15" totalsRowShown="0" headerRowDxfId="252" headerRowBorderDxfId="251" tableBorderDxfId="250" totalsRowBorderDxfId="249">
  <autoFilter ref="A11:F15"/>
  <tableColumns count="6">
    <tableColumn id="1" name="Staff (I)" dataCellStyle="Input"/>
    <tableColumn id="2" name="Time (# of Years) (I)" dataCellStyle="Input"/>
    <tableColumn id="3" name="FTE (I)" dataCellStyle="Input"/>
    <tableColumn id="4" name="Base Salary (I)" dataCellStyle="Input"/>
    <tableColumn id="5" name="Overhead Rate (I)" dataCellStyle="Input"/>
    <tableColumn id="6" name="(Salary + Overhead) * FTE* # of Years (O)" dataCellStyle="Output"/>
  </tableColumns>
  <tableStyleInfo showFirstColumn="0" showLastColumn="0" showRowStripes="1" showColumnStripes="0"/>
  <extLst>
    <ext xmlns:x14="http://schemas.microsoft.com/office/spreadsheetml/2009/9/main" uri="{504A1905-F514-4f6f-8877-14C23A59335A}">
      <x14:table altText="Table 3. Staff Costs for Implementation and Ongoing Support for Digital Review." altTextSummary="This table identifies the staff positions and associated costs for implementing a Digital Review solution and ongoing support._x000d__x000a__x000d__x000a_Staff positions for each improvement opportunity will vary._x000d__x000a__x000d__x000a_The table includes the name of the staff position, and several data points that are used to calculate the total cost for each position (in the last column, Column F): the time (in the number of years) that the staff position is required, the number of FTEs needed, base salary of the staff position, and overhead rate."/>
    </ext>
  </extLst>
</table>
</file>

<file path=xl/tables/table21.xml><?xml version="1.0" encoding="utf-8"?>
<table xmlns="http://schemas.openxmlformats.org/spreadsheetml/2006/main" id="11" name="Table21" displayName="Table21" ref="A11:J24" totalsRowShown="0" headerRowDxfId="248" dataDxfId="247" tableBorderDxfId="246" dataCellStyle="Currency">
  <autoFilter ref="A11:J24"/>
  <tableColumns count="10">
    <tableColumn id="1" name="Costs (I)" dataDxfId="245" dataCellStyle="Input"/>
    <tableColumn id="2" name="Notes/Assumptions (N)" dataDxfId="244" dataCellStyle="Note"/>
    <tableColumn id="3" name="Total Cost (O)" dataDxfId="243" dataCellStyle="Output">
      <calculatedColumnFormula>SUM(D12:J12)</calculatedColumnFormula>
    </tableColumn>
    <tableColumn id="4" name="Cost Incurred in Year 1 (I)" dataDxfId="242" dataCellStyle="Input"/>
    <tableColumn id="5" name="Cost Incurred in Year 2 (I)" dataDxfId="241" dataCellStyle="Input"/>
    <tableColumn id="6" name="Cost Incurred in Year 3 (I)" dataDxfId="240" dataCellStyle="Input"/>
    <tableColumn id="7" name="Cost Incurred in Year 4 (I)" dataDxfId="239" dataCellStyle="Input"/>
    <tableColumn id="8" name="Cost Incurred in Year 5 (I)" dataDxfId="238" dataCellStyle="Input"/>
    <tableColumn id="9" name="Cost Incurred in Year 6 (I)" dataDxfId="237" dataCellStyle="Input"/>
    <tableColumn id="10" name="Cost Incurred in Year 7 (I)" dataDxfId="236" dataCellStyle="Input"/>
  </tableColumns>
  <tableStyleInfo showFirstColumn="0" showLastColumn="0" showRowStripes="1" showColumnStripes="0"/>
  <extLst>
    <ext xmlns:x14="http://schemas.microsoft.com/office/spreadsheetml/2009/9/main" uri="{504A1905-F514-4f6f-8877-14C23A59335A}">
      <x14:table altText="Table 4. Total Costs and Costs Incurred by Year for Digital Review." altTextSummary="This table identifies the costs for implementing Digital Review._x000d__x000a__x000d__x000a_We are assuming that the agency has no existing software licensing in place and that the agency is implementing a commercial off the shelf system._x000d__x000a__x000d__x000a_Costs will vary by improvement opportunity. _x000d__x000a__x000d__x000a_This table includes the name of the cost category, the notes and assumptions used to develop the default inputs and guide the user to modify the costs according to its construction program, the total cost, and the costs incurred in each year. Costs should be inputted in the year they are incurred."/>
    </ext>
  </extLst>
</table>
</file>

<file path=xl/tables/table22.xml><?xml version="1.0" encoding="utf-8"?>
<table xmlns="http://schemas.openxmlformats.org/spreadsheetml/2006/main" id="12" name="Table22" displayName="Table22" ref="A11:I15" totalsRowShown="0" headerRowDxfId="235" headerRowBorderDxfId="234" tableBorderDxfId="233" totalsRowBorderDxfId="232">
  <autoFilter ref="A11:I15"/>
  <tableColumns count="9">
    <tableColumn id="1" name="Benefits (Quantifiable) (O)"/>
    <tableColumn id="2" name="Total (O)"/>
    <tableColumn id="3" name="Year 1 (O)"/>
    <tableColumn id="4" name="Year 2 (O)"/>
    <tableColumn id="5" name="Year 3 (O)"/>
    <tableColumn id="6" name="Year 4 (O)"/>
    <tableColumn id="7" name="Year 5 (O)"/>
    <tableColumn id="8" name="Year 6 (O)"/>
    <tableColumn id="9" name="Year 7 (O)"/>
  </tableColumns>
  <tableStyleInfo showFirstColumn="0" showLastColumn="0" showRowStripes="1" showColumnStripes="0"/>
  <extLst>
    <ext xmlns:x14="http://schemas.microsoft.com/office/spreadsheetml/2009/9/main" uri="{504A1905-F514-4f6f-8877-14C23A59335A}">
      <x14:table altText="Table. Benefits (Quantifiable) for Digital Review." altTextSummary="This table includes the total benefits and the benefits realized in each year (over 7 years) for implementing Digital Review. The benefit streams were previously identified in Table 2."/>
    </ext>
  </extLst>
</table>
</file>

<file path=xl/tables/table23.xml><?xml version="1.0" encoding="utf-8"?>
<table xmlns="http://schemas.openxmlformats.org/spreadsheetml/2006/main" id="13" name="Table23" displayName="Table23" ref="A17:I32" totalsRowShown="0" headerRowDxfId="231" tableBorderDxfId="230">
  <autoFilter ref="A17:I32"/>
  <tableColumns count="9">
    <tableColumn id="1" name="Costs (O)"/>
    <tableColumn id="2" name="Total (O)" dataCellStyle="Output"/>
    <tableColumn id="3" name="Year 1 (O)" dataCellStyle="Output"/>
    <tableColumn id="4" name="Year 2 (O)" dataCellStyle="Output"/>
    <tableColumn id="5" name="Year 3 (O)" dataCellStyle="Output"/>
    <tableColumn id="6" name="Year 4 (O)" dataCellStyle="Output"/>
    <tableColumn id="7" name="Year 5 (O)" dataCellStyle="Output"/>
    <tableColumn id="8" name="Year 6 (O)" dataCellStyle="Output"/>
    <tableColumn id="9" name="Year 7 (O)" dataCellStyle="Output"/>
  </tableColumns>
  <tableStyleInfo showFirstColumn="0" showLastColumn="0" showRowStripes="1" showColumnStripes="0"/>
  <extLst>
    <ext xmlns:x14="http://schemas.microsoft.com/office/spreadsheetml/2009/9/main" uri="{504A1905-F514-4f6f-8877-14C23A59335A}">
      <x14:table altText="Table. Costs, Net Benefit, and Cumulative Benefit for Digital Review." altTextSummary="This table includes total costs and year by year costs (over 7 years) for implementing Digital Review, as identified in Table 4. _x000d__x000a__x000d__x000a_In addition, this table also calculates the Net Benefit (total benefits minus costs) for each year and the Cumulative Benefit (in the last two rows), using the Benefits included in the Benefits table above."/>
    </ext>
  </extLst>
</table>
</file>

<file path=xl/tables/table24.xml><?xml version="1.0" encoding="utf-8"?>
<table xmlns="http://schemas.openxmlformats.org/spreadsheetml/2006/main" id="14" name="Table24" displayName="Table24" ref="A11:D23" totalsRowShown="0" headerRowDxfId="229" tableBorderDxfId="228">
  <autoFilter ref="A11:D23"/>
  <tableColumns count="4">
    <tableColumn id="1" name="Input Category (I)" dataCellStyle="Input"/>
    <tableColumn id="2" name="Input (I)" dataDxfId="227" dataCellStyle="Input"/>
    <tableColumn id="3" name="Notes/Assumptions (N)" dataDxfId="226" dataCellStyle="Note"/>
    <tableColumn id="4" name="Benchmark Data (N)" dataDxfId="225" dataCellStyle="Note"/>
  </tableColumns>
  <tableStyleInfo showFirstColumn="0" showLastColumn="0" showRowStripes="1" showColumnStripes="0"/>
  <extLst>
    <ext xmlns:x14="http://schemas.microsoft.com/office/spreadsheetml/2009/9/main" uri="{504A1905-F514-4f6f-8877-14C23A59335A}">
      <x14:table altText="Table 1. Benefit Inputs for Project Construction Management." altTextSummary="This table is intended for the user to enter in benefit inputs to calculate benefits streams for Project Construction Management. The table states the inputs and provides default values for each input. Notes and Assumptions are provided to state the assumptions used to develop the default inputs and guidance is included to help agencies develop their own values. Benchmark data is also provided for each input, where available."/>
    </ext>
  </extLst>
</table>
</file>

<file path=xl/tables/table25.xml><?xml version="1.0" encoding="utf-8"?>
<table xmlns="http://schemas.openxmlformats.org/spreadsheetml/2006/main" id="15" name="Table25" displayName="Table25" ref="A11:J15" totalsRowShown="0" headerRowDxfId="224" dataDxfId="223" tableBorderDxfId="222" dataCellStyle="Percent">
  <autoFilter ref="A11:J15"/>
  <tableColumns count="10">
    <tableColumn id="1" name="Anticipated Benefit Stream (I)" dataDxfId="221" dataCellStyle="Input"/>
    <tableColumn id="2" name="Calculation/Assumptions (N)" dataCellStyle="Note"/>
    <tableColumn id="3" name="Anticipated Benefits (in $) (O)" dataDxfId="220" dataCellStyle="Output"/>
    <tableColumn id="4" name="% of Benefits Realized in Year 1 (I)" dataDxfId="219" dataCellStyle="Input"/>
    <tableColumn id="5" name="% of Benefits Realized in Year 2 (I)" dataDxfId="218" dataCellStyle="Input"/>
    <tableColumn id="6" name="% of Benefits Realized in Year 3 (I)" dataDxfId="217" dataCellStyle="Input"/>
    <tableColumn id="7" name="% of Benefits Realized in Year 4 (I)" dataDxfId="216" dataCellStyle="Input"/>
    <tableColumn id="8" name="% of Benefits Realized in Year 5 (I)" dataDxfId="215" dataCellStyle="Input"/>
    <tableColumn id="9" name="% of Benefits Realized in Year 6 (I)" dataDxfId="214" dataCellStyle="Input"/>
    <tableColumn id="10" name="% of Benefits Realized in Year 7 (I)" dataDxfId="213" dataCellStyle="Input"/>
  </tableColumns>
  <tableStyleInfo showFirstColumn="0" showLastColumn="0" showRowStripes="1" showColumnStripes="0"/>
  <extLst>
    <ext xmlns:x14="http://schemas.microsoft.com/office/spreadsheetml/2009/9/main" uri="{504A1905-F514-4f6f-8877-14C23A59335A}">
      <x14:table altText="Table 2. Anticipated Benefit Streams and Percentage Realized by Year for Project Construction Management." altTextSummary="This table identifies the anticipated benefit streams for Project Construction Management, using the benefit inputs entered in Table 1 in the previous tab to calculate the anticipated benefits._x000d__x000a__x000d__x000a_The table states the anticipated benefit stream, provides the calculations and assumptions that demonstrate how the benefit streams were calculated using the inputs in Table 1, and the total anticipated benefits. In addition, the table also allows the user to enter the % of benefits realized in each year (for up to seven years), since it may take a few years until an agency starts to realize benefits (to account for the time it takes to institutionalize the system, get users acquainted with the system, etc.)._x000d__x000a__x000d__x000a_7 years is the default timeframe that is used because it covers a longer timeframe than implementation and captures the full benefits realization for at least a couple of years. We are also assuming that hardware/software upgrade cycles occur every 3 to 5 years, which falls within this 7 year timeframe."/>
    </ext>
  </extLst>
</table>
</file>

<file path=xl/tables/table26.xml><?xml version="1.0" encoding="utf-8"?>
<table xmlns="http://schemas.openxmlformats.org/spreadsheetml/2006/main" id="16" name="Table26" displayName="Table26" ref="A11:F19" totalsRowShown="0" headerRowDxfId="212" headerRowBorderDxfId="211" tableBorderDxfId="210" totalsRowBorderDxfId="209">
  <autoFilter ref="A11:F19"/>
  <tableColumns count="6">
    <tableColumn id="1" name="Staff (I)" dataCellStyle="Input"/>
    <tableColumn id="2" name="Time (# of Years) (I)" dataDxfId="208" dataCellStyle="Input"/>
    <tableColumn id="3" name="FTE (I)" dataDxfId="207" dataCellStyle="Input"/>
    <tableColumn id="4" name="Base Salary (I)" dataDxfId="206" dataCellStyle="Input"/>
    <tableColumn id="5" name="Overhead Rate (I)" dataDxfId="205" dataCellStyle="Input"/>
    <tableColumn id="6" name="(Salary + Overhead) * FTE* # of Years (O)" dataDxfId="204" dataCellStyle="Output"/>
  </tableColumns>
  <tableStyleInfo showFirstColumn="0" showLastColumn="0" showRowStripes="1" showColumnStripes="0"/>
  <extLst>
    <ext xmlns:x14="http://schemas.microsoft.com/office/spreadsheetml/2009/9/main" uri="{504A1905-F514-4f6f-8877-14C23A59335A}">
      <x14:table altText="Table 3. Staff Costs for Implementation and Ongoing Support for Project Construction Management." altTextSummary="This table identifies the staff positions and associated costs for implementing a Project Construction Management system and ongoing support._x000d__x000a__x000d__x000a_Staff positions for each improvement opportunity will vary._x000d__x000a__x000d__x000a_The table includes the name of the staff position, and several data points that are used to calculate the total cost for each position (in the last column, Column F): the time (in the number of years) that the staff position is required, the number of FTEs needed, base salary of the staff position, and overhead rate."/>
    </ext>
  </extLst>
</table>
</file>

<file path=xl/tables/table27.xml><?xml version="1.0" encoding="utf-8"?>
<table xmlns="http://schemas.openxmlformats.org/spreadsheetml/2006/main" id="17" name="Table27" displayName="Table27" ref="A11:J22" totalsRowShown="0" headerRowDxfId="203" dataDxfId="201" headerRowBorderDxfId="202" tableBorderDxfId="200" totalsRowBorderDxfId="199" dataCellStyle="Currency">
  <autoFilter ref="A11:J22"/>
  <tableColumns count="10">
    <tableColumn id="1" name="Costs (I)" dataDxfId="198" dataCellStyle="Input"/>
    <tableColumn id="2" name="Notes/Assumptions (N)" dataDxfId="197" dataCellStyle="Note"/>
    <tableColumn id="3" name="Total Cost (O)" dataDxfId="196" dataCellStyle="Output">
      <calculatedColumnFormula>SUM(D12:J12)</calculatedColumnFormula>
    </tableColumn>
    <tableColumn id="4" name="Cost Incurred in Year 1 (I)" dataDxfId="195" dataCellStyle="Input"/>
    <tableColumn id="5" name="Cost Incurred in Year 2 (I)" dataDxfId="194" dataCellStyle="Input"/>
    <tableColumn id="6" name="Cost Incurred in Year 3 (I)" dataDxfId="193" dataCellStyle="Input"/>
    <tableColumn id="7" name="Cost Incurred in Year 4 (I)" dataDxfId="192" dataCellStyle="Input"/>
    <tableColumn id="8" name="Cost Incurred in Year 5 (I)" dataDxfId="191" dataCellStyle="Input"/>
    <tableColumn id="9" name="Cost Incurred in Year 6 (I)" dataDxfId="190" dataCellStyle="Input"/>
    <tableColumn id="10" name="Cost Incurred in Year 7 (I)" dataDxfId="189" dataCellStyle="Input"/>
  </tableColumns>
  <tableStyleInfo showFirstColumn="0" showLastColumn="0" showRowStripes="1" showColumnStripes="0"/>
  <extLst>
    <ext xmlns:x14="http://schemas.microsoft.com/office/spreadsheetml/2009/9/main" uri="{504A1905-F514-4f6f-8877-14C23A59335A}">
      <x14:table altText="Table 4. Total Costs and Costs Incurred by Year for Project Construction Management." altTextSummary="This table identifies the costs for implementing a Project Construction Management system._x000d__x000a__x000d__x000a_We are assuming that the agency has no existing software licensing in place and that the agency is implementing a commercial off the shelf system._x000d__x000a__x000d__x000a_Costs will vary by improvement opportunity. _x000d__x000a__x000d__x000a_This table includes the name of the cost category, the notes and assumptions used to develop the default inputs and guide the user to modify the costs according to its construction program, the total cost, and the costs incurred in each year. Costs should be inputted in the year they are incurred."/>
    </ext>
  </extLst>
</table>
</file>

<file path=xl/tables/table28.xml><?xml version="1.0" encoding="utf-8"?>
<table xmlns="http://schemas.openxmlformats.org/spreadsheetml/2006/main" id="18" name="Table28" displayName="Table28" ref="A11:I16" totalsRowShown="0" headerRowDxfId="188" dataDxfId="186" headerRowBorderDxfId="187" tableBorderDxfId="185" totalsRowBorderDxfId="184" dataCellStyle="Comma">
  <autoFilter ref="A11:I16"/>
  <tableColumns count="9">
    <tableColumn id="1" name="Benefits (Quantifiable) (O)"/>
    <tableColumn id="2" name="Total (O)" dataDxfId="183"/>
    <tableColumn id="3" name="Year 1 (O)" dataDxfId="182" dataCellStyle="Comma"/>
    <tableColumn id="4" name="Year 2 (O)" dataDxfId="181" dataCellStyle="Comma"/>
    <tableColumn id="5" name="Year 3 (O)" dataDxfId="180" dataCellStyle="Comma"/>
    <tableColumn id="6" name="Year 4 (O)" dataDxfId="179" dataCellStyle="Comma"/>
    <tableColumn id="7" name="Year 5 (O)" dataDxfId="178" dataCellStyle="Comma"/>
    <tableColumn id="8" name="Year 6 (O)" dataDxfId="177" dataCellStyle="Comma"/>
    <tableColumn id="9" name="Year 7 (O)" dataDxfId="176" dataCellStyle="Comma"/>
  </tableColumns>
  <tableStyleInfo showFirstColumn="0" showLastColumn="0" showRowStripes="1" showColumnStripes="0"/>
  <extLst>
    <ext xmlns:x14="http://schemas.microsoft.com/office/spreadsheetml/2009/9/main" uri="{504A1905-F514-4f6f-8877-14C23A59335A}">
      <x14:table altText="Table. Benefits (Quantifiable) for Project Construction Management." altTextSummary="This table includes the total benefits and the benefits realized in each year (over 7 years) for implementing Project Construction Management. The benefit streams were previously identified in Table 2."/>
    </ext>
  </extLst>
</table>
</file>

<file path=xl/tables/table29.xml><?xml version="1.0" encoding="utf-8"?>
<table xmlns="http://schemas.openxmlformats.org/spreadsheetml/2006/main" id="19" name="Table29" displayName="Table29" ref="A18:I32" totalsRowShown="0" headerRowDxfId="175" tableBorderDxfId="174">
  <autoFilter ref="A18:I32"/>
  <tableColumns count="9">
    <tableColumn id="1" name="Costs (O)" dataDxfId="173"/>
    <tableColumn id="2" name="Total (O)" dataCellStyle="Output"/>
    <tableColumn id="3" name="Year 1 (O)" dataCellStyle="Output"/>
    <tableColumn id="4" name="Year 2 (O)" dataCellStyle="Output"/>
    <tableColumn id="5" name="Year 3 (O)" dataCellStyle="Output"/>
    <tableColumn id="6" name="Year 4 (O)" dataCellStyle="Output"/>
    <tableColumn id="7" name="Year 5 (O)" dataCellStyle="Output"/>
    <tableColumn id="8" name="Year 6 (O)" dataCellStyle="Output"/>
    <tableColumn id="9" name="Year 7 (O)" dataCellStyle="Output"/>
  </tableColumns>
  <tableStyleInfo showFirstColumn="0" showLastColumn="0" showRowStripes="1" showColumnStripes="0"/>
  <extLst>
    <ext xmlns:x14="http://schemas.microsoft.com/office/spreadsheetml/2009/9/main" uri="{504A1905-F514-4f6f-8877-14C23A59335A}">
      <x14:table altText="Table. Costs, Net Benefit, and Cumulative Costs for Project Construction Management." altTextSummary="This table includes total costs and year by year costs (over 7 years) for implementing a Project Construction Management system, as identified in Table 4. _x000d__x000a__x000d__x000a_In addition, this table also calculates the Net Benefit (total benefits minus costs) for each year and the Cumulative Benefit (in the last two rows), using the Benefits included in the Benefits table above."/>
    </ext>
  </extLst>
</table>
</file>

<file path=xl/tables/table3.xml><?xml version="1.0" encoding="utf-8"?>
<table xmlns="http://schemas.openxmlformats.org/spreadsheetml/2006/main" id="24" name="Table3" displayName="Table3" ref="A8:B16" totalsRowShown="0" headerRowDxfId="386" dataDxfId="385" tableBorderDxfId="384">
  <autoFilter ref="A8:B16"/>
  <tableColumns count="2">
    <tableColumn id="1" name="e-Construction Opportunity" dataDxfId="383"/>
    <tableColumn id="2" name="Description" dataDxfId="382"/>
  </tableColumns>
  <tableStyleInfo name="TableStyleMedium2" showFirstColumn="0" showLastColumn="0" showRowStripes="1" showColumnStripes="0"/>
  <extLst>
    <ext xmlns:x14="http://schemas.microsoft.com/office/spreadsheetml/2009/9/main" uri="{504A1905-F514-4f6f-8877-14C23A59335A}">
      <x14:table altText="Table 3. e-Construction Opportunities and Definitions." altTextSummary="This table defines each of the e-Construction opportunities found in this workbook, including Electronic Bidding and Contract Award; Digital Plans, Specifications, and Estimates; Digital Review of Project Documents; Project Construction Management; Project Collaboration; Requirement of Digital As-Builts; Mobile Devices (for daily inspection); and Integration Opportunities."/>
    </ext>
  </extLst>
</table>
</file>

<file path=xl/tables/table30.xml><?xml version="1.0" encoding="utf-8"?>
<table xmlns="http://schemas.openxmlformats.org/spreadsheetml/2006/main" id="20" name="Table30" displayName="Table30" ref="A11:D19" totalsRowShown="0" headerRowDxfId="172" tableBorderDxfId="171">
  <autoFilter ref="A11:D19"/>
  <tableColumns count="4">
    <tableColumn id="1" name="Input Category (I)" dataCellStyle="Input"/>
    <tableColumn id="2" name="Input (I)" dataDxfId="170" dataCellStyle="Input"/>
    <tableColumn id="3" name="Notes/Assumptions (N)" dataDxfId="169" dataCellStyle="Note"/>
    <tableColumn id="4" name="Benchmark Data (N)" dataDxfId="168" dataCellStyle="Note"/>
  </tableColumns>
  <tableStyleInfo showFirstColumn="0" showLastColumn="0" showRowStripes="1" showColumnStripes="0"/>
  <extLst>
    <ext xmlns:x14="http://schemas.microsoft.com/office/spreadsheetml/2009/9/main" uri="{504A1905-F514-4f6f-8877-14C23A59335A}">
      <x14:table altText="Table 1. Benefit Inputs for Project Collaboration." altTextSummary="This table is intended for the user to enter in benefit inputs to calculate benefits streams for Project Collaboration. The table states the inputs and provides default values for each input. Notes and Assumptions are provided to state the assumptions used to develop the default inputs and guidance is included to help agencies develop their own values. Benchmark data is also provided for each input, where available."/>
    </ext>
  </extLst>
</table>
</file>

<file path=xl/tables/table31.xml><?xml version="1.0" encoding="utf-8"?>
<table xmlns="http://schemas.openxmlformats.org/spreadsheetml/2006/main" id="21" name="Table31" displayName="Table31" ref="A11:J13" totalsRowShown="0" headerRowDxfId="167" dataDxfId="165" headerRowBorderDxfId="166" tableBorderDxfId="164" totalsRowBorderDxfId="163" dataCellStyle="Percent">
  <autoFilter ref="A11:J13"/>
  <tableColumns count="10">
    <tableColumn id="1" name="Anticipated Benefit Stream (I)" dataCellStyle="Input"/>
    <tableColumn id="2" name="Calculation/Assumptions (N)" dataCellStyle="Note"/>
    <tableColumn id="3" name="Anticipated Benefits (in $) (O)" dataCellStyle="Output">
      <calculatedColumnFormula>PRODUCT('Project Collab - Inputs 1'!B14:B18)</calculatedColumnFormula>
    </tableColumn>
    <tableColumn id="4" name="% of Benefits Realized in Year 1 (I)" dataDxfId="162" dataCellStyle="Input"/>
    <tableColumn id="5" name="% of Benefits Realized in Year 2 (I)" dataDxfId="161" dataCellStyle="Input"/>
    <tableColumn id="6" name="% of Benefits Realized in Year 3 (I)" dataDxfId="160" dataCellStyle="Input"/>
    <tableColumn id="7" name="% of Benefits Realized in Year 4 (I)" dataDxfId="159" dataCellStyle="Input"/>
    <tableColumn id="8" name="% of Benefits Realized in Year 5 (I)" dataDxfId="158" dataCellStyle="Input"/>
    <tableColumn id="9" name="% of Benefits Realized in Year 6 (I)" dataDxfId="157" dataCellStyle="Input"/>
    <tableColumn id="10" name="% of Benefits Realized in Year 7 (I)" dataDxfId="156" dataCellStyle="Input"/>
  </tableColumns>
  <tableStyleInfo showFirstColumn="0" showLastColumn="0" showRowStripes="1" showColumnStripes="0"/>
  <extLst>
    <ext xmlns:x14="http://schemas.microsoft.com/office/spreadsheetml/2009/9/main" uri="{504A1905-F514-4f6f-8877-14C23A59335A}">
      <x14:table altText="Table 2. Anticipated Benefit Streams and Percentage Realized by Year for Project Collaboration." altTextSummary="This table identifies the anticipated benefit streams for Project Collaboration, using the benefit inputs entered in Table 1 in the previous tab to calculate the anticipated benefits._x000d__x000a__x000d__x000a_The table states the anticipated benefit stream, provides the calculations and assumptions that demonstrate how the benefit streams were calculated using the inputs in Table 1, and the total anticipated benefits. In addition, the table also allows the user to enter the % of benefits realized in each year (for up to seven years), since it may take a few years until an agency starts to realize benefits (to account for the time it takes to institutionalize the system, get users acquainted with the system, etc.)._x000d__x000a__x000d__x000a_7 years is the default timeframe that is used because it covers a longer timeframe than implementation and captures the full benefits realization for at least a couple of years. We are also assuming that hardware/software upgrade cycles occur every 3 to 5 years, which falls within this 7 year timeframe."/>
    </ext>
  </extLst>
</table>
</file>

<file path=xl/tables/table32.xml><?xml version="1.0" encoding="utf-8"?>
<table xmlns="http://schemas.openxmlformats.org/spreadsheetml/2006/main" id="28" name="Table32" displayName="Table32" ref="A11:F18" totalsRowShown="0" headerRowDxfId="155" headerRowBorderDxfId="154" tableBorderDxfId="153" totalsRowBorderDxfId="152">
  <autoFilter ref="A11:F18"/>
  <tableColumns count="6">
    <tableColumn id="1" name="Staff (I)" dataDxfId="151" dataCellStyle="Input"/>
    <tableColumn id="2" name="Time (# of Years) (I)" dataDxfId="150" dataCellStyle="Input"/>
    <tableColumn id="3" name="FTE (I)" dataDxfId="149" dataCellStyle="Input"/>
    <tableColumn id="4" name="Base Salary (I)" dataDxfId="148" dataCellStyle="Input"/>
    <tableColumn id="5" name="Overhead Rate (I)" dataDxfId="147" dataCellStyle="Input"/>
    <tableColumn id="6" name="(Salary + Overhead) * FTE* # of Years (O)" dataDxfId="146" dataCellStyle="Output"/>
  </tableColumns>
  <tableStyleInfo showFirstColumn="0" showLastColumn="0" showRowStripes="1" showColumnStripes="0"/>
  <extLst>
    <ext xmlns:x14="http://schemas.microsoft.com/office/spreadsheetml/2009/9/main" uri="{504A1905-F514-4f6f-8877-14C23A59335A}">
      <x14:table altText="Table 3. Staff Costs for Implementation and Ongoing Support for Project Collaboration." altTextSummary="This table identifies the staff positions and associated costs for implementing a Project Collaboration tool and ongoing support._x000d__x000a__x000d__x000a_Staff positions for each improvement opportunity will vary._x000d__x000a__x000d__x000a_The table includes the name of the staff position, and several data points that are used to calculate the total cost for each position (in the last column, Column F): the time (in the number of years) that the staff position is required, the number of FTEs needed, base salary of the staff position, and overhead rate."/>
    </ext>
  </extLst>
</table>
</file>

<file path=xl/tables/table33.xml><?xml version="1.0" encoding="utf-8"?>
<table xmlns="http://schemas.openxmlformats.org/spreadsheetml/2006/main" id="33" name="Table33" displayName="Table33" ref="A11:J22" totalsRowShown="0" headerRowDxfId="145" dataDxfId="143" headerRowBorderDxfId="144" tableBorderDxfId="142" totalsRowBorderDxfId="141" dataCellStyle="Currency">
  <autoFilter ref="A11:J22"/>
  <tableColumns count="10">
    <tableColumn id="1" name="Costs (I)" dataDxfId="140" dataCellStyle="Input"/>
    <tableColumn id="2" name="Notes/Assumptions (N)" dataDxfId="139" dataCellStyle="Note"/>
    <tableColumn id="3" name="Total Cost (O)" dataDxfId="138" dataCellStyle="Output">
      <calculatedColumnFormula>SUM(D12:J12)</calculatedColumnFormula>
    </tableColumn>
    <tableColumn id="4" name="Cost Incurred in Year 1 (I)" dataDxfId="137" dataCellStyle="Input"/>
    <tableColumn id="5" name="Cost Incurred in Year 2 (I)" dataDxfId="136" dataCellStyle="Input"/>
    <tableColumn id="6" name="Cost Incurred in Year 3 (I)" dataDxfId="135" dataCellStyle="Input"/>
    <tableColumn id="7" name="Cost Incurred in Year 4 (I)" dataDxfId="134" dataCellStyle="Input"/>
    <tableColumn id="8" name="Cost Incurred in Year 5 (I)" dataDxfId="133" dataCellStyle="Input"/>
    <tableColumn id="9" name="Cost Incurred in Year 6 (I)" dataDxfId="132" dataCellStyle="Input"/>
    <tableColumn id="10" name="Cost Incurred in Year 7 (I)" dataDxfId="131" dataCellStyle="Input"/>
  </tableColumns>
  <tableStyleInfo showFirstColumn="0" showLastColumn="0" showRowStripes="1" showColumnStripes="0"/>
  <extLst>
    <ext xmlns:x14="http://schemas.microsoft.com/office/spreadsheetml/2009/9/main" uri="{504A1905-F514-4f6f-8877-14C23A59335A}">
      <x14:table altText="Table 4. Total Costs and Costs Incurred by Year for Project Collaboration." altTextSummary="This table identifies the costs for implementing a Project Collaboration tool._x000d__x000a__x000d__x000a_We are assuming that the agency has no existing software licensing in place and that the agency is implementing a commercial off the shelf system._x000d__x000a__x000d__x000a_Costs will vary by improvement opportunity. _x000d__x000a__x000d__x000a_This table includes the name of the cost category, the notes and assumptions used to develop the default inputs and guide the user to modify the costs according to its construction program, the total cost, and the costs incurred in each year. Costs should be inputted in the year they are incurred."/>
    </ext>
  </extLst>
</table>
</file>

<file path=xl/tables/table34.xml><?xml version="1.0" encoding="utf-8"?>
<table xmlns="http://schemas.openxmlformats.org/spreadsheetml/2006/main" id="34" name="Table34" displayName="Table34" ref="A11:I15" totalsRowShown="0" headerRowDxfId="130" headerRowBorderDxfId="129" tableBorderDxfId="128" totalsRowBorderDxfId="127">
  <autoFilter ref="A11:I15"/>
  <tableColumns count="9">
    <tableColumn id="1" name="Benefits (Quantifiable) (O)"/>
    <tableColumn id="2" name="Total (O)"/>
    <tableColumn id="3" name="Year 1 (O)"/>
    <tableColumn id="4" name="Year 2 (O)"/>
    <tableColumn id="5" name="Year 3 (O)"/>
    <tableColumn id="6" name="Year 4 (O)"/>
    <tableColumn id="7" name="Year 5 (O)"/>
    <tableColumn id="8" name="Year 6 (O)"/>
    <tableColumn id="9" name="Year 7 (O)"/>
  </tableColumns>
  <tableStyleInfo showFirstColumn="0" showLastColumn="0" showRowStripes="1" showColumnStripes="0"/>
  <extLst>
    <ext xmlns:x14="http://schemas.microsoft.com/office/spreadsheetml/2009/9/main" uri="{504A1905-F514-4f6f-8877-14C23A59335A}">
      <x14:table altText="Table. Benefits (Quantifiable) for Project Collaboration." altTextSummary="This table includes the total benefits and the benefits realized in each year (over 7 years) for implementing Project Collaboration. The benefit streams were previously identified in Table 2."/>
    </ext>
  </extLst>
</table>
</file>

<file path=xl/tables/table35.xml><?xml version="1.0" encoding="utf-8"?>
<table xmlns="http://schemas.openxmlformats.org/spreadsheetml/2006/main" id="35" name="Table35" displayName="Table35" ref="A17:I31" totalsRowShown="0" headerRowDxfId="126" headerRowBorderDxfId="125" tableBorderDxfId="124" totalsRowBorderDxfId="123">
  <autoFilter ref="A17:I31"/>
  <tableColumns count="9">
    <tableColumn id="1" name="Costs (O)" dataDxfId="122"/>
    <tableColumn id="2" name="Total (O)"/>
    <tableColumn id="3" name="Year 1 (O)"/>
    <tableColumn id="4" name="Year 2 (O)"/>
    <tableColumn id="5" name="Year 3 (O)"/>
    <tableColumn id="6" name="Year 4 (O)"/>
    <tableColumn id="7" name="Year 5 (O)"/>
    <tableColumn id="8" name="Year 6 (O)"/>
    <tableColumn id="9" name="Year 7 (O)"/>
  </tableColumns>
  <tableStyleInfo showFirstColumn="0" showLastColumn="0" showRowStripes="1" showColumnStripes="0"/>
  <extLst>
    <ext xmlns:x14="http://schemas.microsoft.com/office/spreadsheetml/2009/9/main" uri="{504A1905-F514-4f6f-8877-14C23A59335A}">
      <x14:table altText="Table. Costs, Net Benefit, and Cumulative Benefit for Project Collaboration." altTextSummary="This table includes total costs and year by year costs (over 7 years) for implementing Project Collaboration, as identified in Table 4. _x000d__x000a__x000d__x000a_In addition, this table also calculates the Net Benefit (total benefits minus costs) for each year and the Cumulative Benefit (in the last two rows), using the Benefits included in the Benefits table above."/>
    </ext>
  </extLst>
</table>
</file>

<file path=xl/tables/table36.xml><?xml version="1.0" encoding="utf-8"?>
<table xmlns="http://schemas.openxmlformats.org/spreadsheetml/2006/main" id="36" name="Table36" displayName="Table36" ref="A11:D17" totalsRowShown="0" headerRowDxfId="121" headerRowBorderDxfId="120" tableBorderDxfId="119" totalsRowBorderDxfId="118">
  <autoFilter ref="A11:D17"/>
  <tableColumns count="4">
    <tableColumn id="1" name="Input Category (I)" dataDxfId="117" dataCellStyle="Input"/>
    <tableColumn id="2" name="Input (I)" dataDxfId="116" dataCellStyle="Input"/>
    <tableColumn id="3" name="Notes/Assumptions (N)" dataDxfId="115" dataCellStyle="Note"/>
    <tableColumn id="4" name="Benchmark Data (N)" dataDxfId="114" dataCellStyle="Note"/>
  </tableColumns>
  <tableStyleInfo showFirstColumn="0" showLastColumn="0" showRowStripes="1" showColumnStripes="0"/>
  <extLst>
    <ext xmlns:x14="http://schemas.microsoft.com/office/spreadsheetml/2009/9/main" uri="{504A1905-F514-4f6f-8877-14C23A59335A}">
      <x14:table altText="Table 1. Benefit Inputs for Digital As-Builts" altTextSummary="This table is intended for the user to enter in benefit inputs to calculate benefits streams for Digital As-Builts. The table states the inputs and provides default values for each input. Notes and Assumptions are provided to state the assumptions used to develop the default inputs and guidance is included to help agencies develop their own values. Benchmark data is also provided for each input, where available."/>
    </ext>
  </extLst>
</table>
</file>

<file path=xl/tables/table37.xml><?xml version="1.0" encoding="utf-8"?>
<table xmlns="http://schemas.openxmlformats.org/spreadsheetml/2006/main" id="37" name="Table37" displayName="Table37" ref="A11:J13" totalsRowShown="0" headerRowDxfId="113" dataDxfId="112" tableBorderDxfId="111" dataCellStyle="Percent">
  <autoFilter ref="A11:J13"/>
  <tableColumns count="10">
    <tableColumn id="1" name="Anticipated Benefit Stream (I)" dataCellStyle="Input"/>
    <tableColumn id="2" name="Calculation/Assumptions (N)" dataDxfId="110" dataCellStyle="Note"/>
    <tableColumn id="3" name="Anticipated Benefits (in $) (O)" dataCellStyle="Output">
      <calculatedColumnFormula>'Dig As-Builts - Inputs 1'!B13*'Dig As-Builts - Inputs 1'!B15*'Dig As-Builts - Inputs 1'!B16</calculatedColumnFormula>
    </tableColumn>
    <tableColumn id="4" name="% of Benefits Realized in Year 1 (I)" dataDxfId="109" dataCellStyle="Input"/>
    <tableColumn id="5" name="% of Benefits Realized in Year 2 (I)" dataDxfId="108" dataCellStyle="Input"/>
    <tableColumn id="6" name="% of Benefits Realized in Year 3 (I)" dataDxfId="107" dataCellStyle="Input"/>
    <tableColumn id="7" name="% of Benefits Realized in Year 4 (I)" dataDxfId="106" dataCellStyle="Input"/>
    <tableColumn id="8" name="% of Benefits Realized in Year 5 (I)" dataDxfId="105" dataCellStyle="Input"/>
    <tableColumn id="9" name="% of Benefits Realized in Year 6 (I)" dataDxfId="104" dataCellStyle="Input"/>
    <tableColumn id="10" name="% of Benefits Realized in Year 7 (I)" dataDxfId="103" dataCellStyle="Input"/>
  </tableColumns>
  <tableStyleInfo showFirstColumn="0" showLastColumn="0" showRowStripes="1" showColumnStripes="0"/>
  <extLst>
    <ext xmlns:x14="http://schemas.microsoft.com/office/spreadsheetml/2009/9/main" uri="{504A1905-F514-4f6f-8877-14C23A59335A}">
      <x14:table altText="Table 2. Anticipated Benefit Streams and Percentage Realized by Year for Digital As-Builts." altTextSummary="This table identifies the anticipated benefit streams for Digital As-Builts, using the benefit inputs entered in Table 1 in the previous tab to calculate the anticipated benefits._x000d__x000a__x000d__x000a_The table states the anticipated benefit stream, provides the calculations and assumptions that demonstrate how the benefit streams were calculated using the inputs in Table 1, and the total anticipated benefits. In addition, the table also allows the user to enter the % of benefits realized in each year (for up to seven years), since it may take a few years until an agency starts to realize benefits (to account for the time it takes to institutionalize the system, get users acquainted with the system, etc.)._x000d__x000a__x000d__x000a_7 years is the default timeframe that is used because it covers a longer timeframe than implementation and captures the full benefits realization for at least a couple of years. We are also assuming that hardware/software upgrade cycles occur every 3 to 5 years, which falls within this 7 year timeframe."/>
    </ext>
  </extLst>
</table>
</file>

<file path=xl/tables/table38.xml><?xml version="1.0" encoding="utf-8"?>
<table xmlns="http://schemas.openxmlformats.org/spreadsheetml/2006/main" id="38" name="Table38" displayName="Table38" ref="A11:F18" totalsRowShown="0" headerRowDxfId="102" headerRowBorderDxfId="101" tableBorderDxfId="100" totalsRowBorderDxfId="99">
  <autoFilter ref="A11:F18"/>
  <tableColumns count="6">
    <tableColumn id="1" name="Staff (I)" dataDxfId="98" dataCellStyle="Input"/>
    <tableColumn id="2" name="Time (# of Years) (I)" dataDxfId="97" dataCellStyle="Input"/>
    <tableColumn id="3" name="FTE (I)" dataDxfId="96" dataCellStyle="Input"/>
    <tableColumn id="4" name="Base Salary (I)" dataDxfId="95" dataCellStyle="Input"/>
    <tableColumn id="5" name="Overhead Rate (I)" dataDxfId="94" dataCellStyle="Input"/>
    <tableColumn id="6" name="(Salary + Overhead) * FTE* # of Years (O)" dataDxfId="93" dataCellStyle="Output"/>
  </tableColumns>
  <tableStyleInfo showFirstColumn="0" showLastColumn="0" showRowStripes="1" showColumnStripes="0"/>
  <extLst>
    <ext xmlns:x14="http://schemas.microsoft.com/office/spreadsheetml/2009/9/main" uri="{504A1905-F514-4f6f-8877-14C23A59335A}">
      <x14:table altText="Table 3. Staff Costs for Implementation and Ongoing Support for Digital As-Builts." altTextSummary="This table identifies the staff positions and associated costs for requiring digital as-builts and ongoing support._x000d__x000a__x000d__x000a_No default values have been provided since we are assuming that no staff is necessary to implement a requirement for digital as-builts. However, a table has been provided in case agencies have costs to record._x000d__x000a__x000d__x000a_Staff positions for each improvement opportunity will vary._x000d__x000a__x000d__x000a_The table includes the name of the staff position, and several data points that are used to calculate the total cost for each position (in the last column, Column F): the time (in the number of years) that the staff position is required, the number of FTEs needed, base salary of the staff position, and overhead rate."/>
    </ext>
  </extLst>
</table>
</file>

<file path=xl/tables/table39.xml><?xml version="1.0" encoding="utf-8"?>
<table xmlns="http://schemas.openxmlformats.org/spreadsheetml/2006/main" id="39" name="Table39" displayName="Table39" ref="A11:J23" totalsRowShown="0" headerRowDxfId="92" dataDxfId="90" headerRowBorderDxfId="91" tableBorderDxfId="89" totalsRowBorderDxfId="88" dataCellStyle="Currency">
  <autoFilter ref="A11:J23"/>
  <tableColumns count="10">
    <tableColumn id="1" name="Costs (I)" dataDxfId="87" dataCellStyle="Input"/>
    <tableColumn id="2" name="Notes/Assumptions (N)" dataDxfId="86" dataCellStyle="Note"/>
    <tableColumn id="3" name="Total Cost (O)" dataDxfId="85" dataCellStyle="Output"/>
    <tableColumn id="4" name="Cost Incurred in Year 1 (I)" dataDxfId="84" dataCellStyle="Input"/>
    <tableColumn id="5" name="Cost Incurred in Year 2 (I)" dataDxfId="83" dataCellStyle="Input"/>
    <tableColumn id="6" name="Cost Incurred in Year 3 (I)" dataDxfId="82" dataCellStyle="Input"/>
    <tableColumn id="7" name="Cost Incurred in Year 4 (I)" dataDxfId="81" dataCellStyle="Input"/>
    <tableColumn id="8" name="Cost Incurred in Year 5 (I)" dataDxfId="80" dataCellStyle="Input"/>
    <tableColumn id="9" name="Cost Incurred in Year 6 (I)" dataDxfId="79" dataCellStyle="Input"/>
    <tableColumn id="10" name="Cost Incurred in Year 7 (I)" dataDxfId="78" dataCellStyle="Input"/>
  </tableColumns>
  <tableStyleInfo showFirstColumn="0" showLastColumn="0" showRowStripes="1" showColumnStripes="0"/>
  <extLst>
    <ext xmlns:x14="http://schemas.microsoft.com/office/spreadsheetml/2009/9/main" uri="{504A1905-F514-4f6f-8877-14C23A59335A}">
      <x14:table altText="Table 4. Total Costs and Costs Incurred by Year for Digital As-Builts." altTextSummary="This table identifies the costs for implementing Digital Review._x000d__x000a__x000d__x000a_We are assuming that the agency has no existing software licensing in place and that the agency is implementing a commercial off the shelf system._x000d__x000a__x000d__x000a_Costs will vary by improvement opportunity. _x000d__x000a__x000d__x000a_This table includes the name of the cost category, the notes and assumptions used to develop the default inputs and guide the user to modify the costs according to its construction program, the total cost, and the costs incurred in each year. Costs should be inputted in the year they are incurred."/>
    </ext>
  </extLst>
</table>
</file>

<file path=xl/tables/table4.xml><?xml version="1.0" encoding="utf-8"?>
<table xmlns="http://schemas.openxmlformats.org/spreadsheetml/2006/main" id="25" name="Table4" displayName="Table4" ref="A8:C32" totalsRowShown="0" headerRowDxfId="381" dataDxfId="380" tableBorderDxfId="379">
  <autoFilter ref="A8:C32"/>
  <tableColumns count="3">
    <tableColumn id="1" name="State" dataDxfId="378"/>
    <tableColumn id="2" name="Estimated Annual Construction Program Size ($)" dataDxfId="377" dataCellStyle="Currency"/>
    <tableColumn id="3" name="As of Year" dataDxfId="376"/>
  </tableColumns>
  <tableStyleInfo name="TableStyleMedium2" showFirstColumn="0" showLastColumn="0" showRowStripes="1" showColumnStripes="0"/>
  <extLst>
    <ext xmlns:x14="http://schemas.microsoft.com/office/spreadsheetml/2009/9/main" uri="{504A1905-F514-4f6f-8877-14C23A59335A}">
      <x14:table altText="Table 4. Annual Construction Programs of State DOTs." altTextSummary="This table identifies the the estimated annual construction program and the year correlated with the annual construction program for state DOTs. It includes all of the agencies that we survey and interviewed, and those we came across during our literature review._x000d__x000a__x000d__x000a_This table is intended to give the user an idea of the size of various agencies' construction programs and can be used to adjust the base estimates provided in the spreadsheet."/>
    </ext>
  </extLst>
</table>
</file>

<file path=xl/tables/table40.xml><?xml version="1.0" encoding="utf-8"?>
<table xmlns="http://schemas.openxmlformats.org/spreadsheetml/2006/main" id="40" name="Table40" displayName="Table40" ref="A11:I14" totalsRowShown="0" headerRowDxfId="77" headerRowBorderDxfId="76" tableBorderDxfId="75" totalsRowBorderDxfId="74">
  <autoFilter ref="A11:I14"/>
  <tableColumns count="9">
    <tableColumn id="1" name="Benefits (Quantifiable) (O)"/>
    <tableColumn id="2" name="Total (O)" dataCellStyle="Output"/>
    <tableColumn id="3" name="Year 1 (O)" dataCellStyle="Output"/>
    <tableColumn id="4" name="Year 2 (O)" dataCellStyle="Output"/>
    <tableColumn id="5" name="Year 3 (O)" dataCellStyle="Output"/>
    <tableColumn id="6" name="Year 4 (O)" dataCellStyle="Output"/>
    <tableColumn id="7" name="Year 5 (O)" dataCellStyle="Output"/>
    <tableColumn id="8" name="Year 6 (O)" dataCellStyle="Output"/>
    <tableColumn id="9" name="Year 7 (O)" dataCellStyle="Output"/>
  </tableColumns>
  <tableStyleInfo showFirstColumn="0" showLastColumn="0" showRowStripes="1" showColumnStripes="0"/>
  <extLst>
    <ext xmlns:x14="http://schemas.microsoft.com/office/spreadsheetml/2009/9/main" uri="{504A1905-F514-4f6f-8877-14C23A59335A}">
      <x14:table altText="Table. Benefits (Quantifiable) for Digital As-Builts." altTextSummary="This table includes the total benefits and the benefits realized in each year (over 7 years) for implementing Digital As-Builts. The benefit streams were previously identified in Table 2."/>
    </ext>
  </extLst>
</table>
</file>

<file path=xl/tables/table41.xml><?xml version="1.0" encoding="utf-8"?>
<table xmlns="http://schemas.openxmlformats.org/spreadsheetml/2006/main" id="41" name="Table41" displayName="Table41" ref="A16:I31" totalsRowShown="0" headerRowDxfId="73" headerRowBorderDxfId="72" tableBorderDxfId="71" totalsRowBorderDxfId="70">
  <autoFilter ref="A16:I31"/>
  <tableColumns count="9">
    <tableColumn id="1" name="Costs (O)" dataDxfId="69"/>
    <tableColumn id="2" name="Total (O)" dataCellStyle="Output"/>
    <tableColumn id="3" name="Year 1 (O)" dataCellStyle="Output"/>
    <tableColumn id="4" name="Year 2 (O)" dataCellStyle="Output"/>
    <tableColumn id="5" name="Year 3 (O)" dataCellStyle="Output"/>
    <tableColumn id="6" name="Year 4 (O)" dataCellStyle="Output"/>
    <tableColumn id="7" name="Year 5 (O)" dataCellStyle="Output"/>
    <tableColumn id="8" name="Year 6 (O)" dataCellStyle="Output"/>
    <tableColumn id="9" name="Year 7 (O)" dataCellStyle="Output"/>
  </tableColumns>
  <tableStyleInfo showFirstColumn="0" showLastColumn="0" showRowStripes="1" showColumnStripes="0"/>
  <extLst>
    <ext xmlns:x14="http://schemas.microsoft.com/office/spreadsheetml/2009/9/main" uri="{504A1905-F514-4f6f-8877-14C23A59335A}">
      <x14:table altText="Table. Costs, Net Benefit, and Cumulative Benefit for Digital As-Builts." altTextSummary="This table includes total costs and year by year costs (over 7 years) for implementing Digital As-Builts, as identified in Table 4. _x000d__x000a__x000d__x000a_In addition, this table also calculates the Net Benefit (total benefits minus costs) for each year and the Cumulative Benefit (in the last two rows), using the Benefits included in the Benefits table above."/>
    </ext>
  </extLst>
</table>
</file>

<file path=xl/tables/table42.xml><?xml version="1.0" encoding="utf-8"?>
<table xmlns="http://schemas.openxmlformats.org/spreadsheetml/2006/main" id="42" name="Table42" displayName="Table42" ref="A11:D22" totalsRowShown="0" headerRowDxfId="68" headerRowBorderDxfId="67" tableBorderDxfId="66" totalsRowBorderDxfId="65">
  <autoFilter ref="A11:D22"/>
  <tableColumns count="4">
    <tableColumn id="1" name="Input Category (I)" dataDxfId="64" dataCellStyle="Input"/>
    <tableColumn id="2" name="Input (I)" dataDxfId="63" dataCellStyle="Input"/>
    <tableColumn id="3" name="Notes/Assumptions (N)" dataDxfId="62" dataCellStyle="Note"/>
    <tableColumn id="4" name="Benchmark Data (N)" dataDxfId="61" dataCellStyle="Note"/>
  </tableColumns>
  <tableStyleInfo showFirstColumn="0" showLastColumn="0" showRowStripes="1" showColumnStripes="0"/>
  <extLst>
    <ext xmlns:x14="http://schemas.microsoft.com/office/spreadsheetml/2009/9/main" uri="{504A1905-F514-4f6f-8877-14C23A59335A}">
      <x14:table altText="Table 1. Benefit Inputs for Mobile Devices." altTextSummary="This table is intended for the user to enter in benefit inputs to calculate benefits streams for Mobile Devices. The table states the inputs and provides default values for each input. Notes and Assumptions are provided to state the assumptions used to develop the default inputs and guidance is included to help agencies develop their own values. Benchmark data is also provided for each input, where available."/>
    </ext>
  </extLst>
</table>
</file>

<file path=xl/tables/table43.xml><?xml version="1.0" encoding="utf-8"?>
<table xmlns="http://schemas.openxmlformats.org/spreadsheetml/2006/main" id="43" name="Table43" displayName="Table43" ref="A11:J17" totalsRowShown="0" headerRowDxfId="60" dataDxfId="59" tableBorderDxfId="58" dataCellStyle="Percent">
  <autoFilter ref="A11:J17"/>
  <tableColumns count="10">
    <tableColumn id="1" name="Anticipated Benefit Stream (I)" dataDxfId="57" dataCellStyle="Input"/>
    <tableColumn id="2" name="Calculation/Assumptions (N)" dataDxfId="56" dataCellStyle="Note"/>
    <tableColumn id="3" name="Anticipated Benefits (in $) (O)" dataDxfId="55" dataCellStyle="Output"/>
    <tableColumn id="4" name="% of Benefits Realized in Year 1 (I)" dataDxfId="54" dataCellStyle="Input"/>
    <tableColumn id="5" name="% of Benefits Realized in Year 2 (I)" dataDxfId="53" dataCellStyle="Input"/>
    <tableColumn id="6" name="% of Benefits Realized in Year 3 (I)" dataDxfId="52" dataCellStyle="Input"/>
    <tableColumn id="7" name="% of Benefits Realized in Year 4 (I)" dataDxfId="51" dataCellStyle="Input"/>
    <tableColumn id="8" name="% of Benefits Realized in Year 5 (I)" dataDxfId="50" dataCellStyle="Input"/>
    <tableColumn id="9" name="% of Benefits Realized in Year 6 (I)" dataDxfId="49" dataCellStyle="Input"/>
    <tableColumn id="10" name="% of Benefits Realized in Year 7 (I)" dataDxfId="48" dataCellStyle="Input"/>
  </tableColumns>
  <tableStyleInfo showFirstColumn="0" showLastColumn="0" showRowStripes="1" showColumnStripes="0"/>
  <extLst>
    <ext xmlns:x14="http://schemas.microsoft.com/office/spreadsheetml/2009/9/main" uri="{504A1905-F514-4f6f-8877-14C23A59335A}">
      <x14:table altText="Table 2. Anticipated Benefit Streams and Percentage Realized by Year for Mobile Devices." altTextSummary="This table identifies the anticipated benefit streams for Mobile Devices, using the benefit inputs entered in Table 1 in the previous tab to calculate the anticipated benefits._x000d__x000a__x000d__x000a_The table states the anticipated benefit stream, provides the calculations and assumptions that demonstrate how the benefit streams were calculated using the inputs in Table 1, and the total anticipated benefits. In addition, the table also allows the user to enter the % of benefits realized in each year (for up to seven years), since it may take a few years until an agency starts to realize benefits (to account for the time it takes to institutionalize the system, get users acquainted with the system, etc.)._x000d__x000a__x000d__x000a_7 years is the default timeframe that is used because it covers a longer timeframe than implementation and captures the full benefits realization for at least a couple of years. We are also assuming that hardware/software upgrade cycles occur every 3 to 5 years, which falls within this 7 year timeframe."/>
    </ext>
  </extLst>
</table>
</file>

<file path=xl/tables/table44.xml><?xml version="1.0" encoding="utf-8"?>
<table xmlns="http://schemas.openxmlformats.org/spreadsheetml/2006/main" id="44" name="Table44" displayName="Table44" ref="A11:F17" totalsRowShown="0" headerRowDxfId="47" tableBorderDxfId="46">
  <autoFilter ref="A11:F17"/>
  <tableColumns count="6">
    <tableColumn id="1" name="Staff (I)" dataDxfId="45" dataCellStyle="Input"/>
    <tableColumn id="2" name="Time (# of Years) (I)" dataDxfId="44" dataCellStyle="Input"/>
    <tableColumn id="3" name="FTE (I)" dataDxfId="43" dataCellStyle="Input"/>
    <tableColumn id="4" name="Base Salary (I)" dataDxfId="42" dataCellStyle="Input"/>
    <tableColumn id="5" name="Overhead Rate (I)" dataDxfId="41" dataCellStyle="Input"/>
    <tableColumn id="6" name="(Salary + Overhead) * FTE* # of Years (O)" dataDxfId="40" dataCellStyle="Output"/>
  </tableColumns>
  <tableStyleInfo showFirstColumn="0" showLastColumn="0" showRowStripes="1" showColumnStripes="0"/>
  <extLst>
    <ext xmlns:x14="http://schemas.microsoft.com/office/spreadsheetml/2009/9/main" uri="{504A1905-F514-4f6f-8877-14C23A59335A}">
      <x14:table altText="Table 3. Staff Costs for Implementation and Ongoing Support for Mobile Devices." altTextSummary="This table identifies the staff positions and associated costs for implementing Mobile Devices and ongoing support._x000d__x000a__x000d__x000a_Staff positions for each improvement opportunity will vary._x000d__x000a__x000d__x000a_The table includes the name of the staff position, and several data points that will are used to calculate the total cost for each position (in the last column): the time (in the number of years) that the staff position is required, the number of FTEs needed, base salary of the staff position, and overhead rate."/>
    </ext>
  </extLst>
</table>
</file>

<file path=xl/tables/table45.xml><?xml version="1.0" encoding="utf-8"?>
<table xmlns="http://schemas.openxmlformats.org/spreadsheetml/2006/main" id="46" name="Table45" displayName="Table45" ref="A11:J25" totalsRowShown="0" headerRowDxfId="39" dataDxfId="37" headerRowBorderDxfId="38" tableBorderDxfId="36" totalsRowBorderDxfId="35" dataCellStyle="Currency">
  <autoFilter ref="A11:J25"/>
  <tableColumns count="10">
    <tableColumn id="1" name="Costs (I)" dataDxfId="34" dataCellStyle="Input"/>
    <tableColumn id="2" name="Notes/Assumptions (N)" dataDxfId="33" dataCellStyle="Note"/>
    <tableColumn id="3" name="Total Cost (O)" dataDxfId="32" dataCellStyle="Output">
      <calculatedColumnFormula>SUM(D12:J12)</calculatedColumnFormula>
    </tableColumn>
    <tableColumn id="4" name="Cost Incurred in Year 1 (I)" dataDxfId="31" dataCellStyle="Input"/>
    <tableColumn id="5" name="Cost Incurred in Year 2 (I)" dataDxfId="30" dataCellStyle="Input"/>
    <tableColumn id="6" name="Cost Incurred in Year 3 (I)" dataDxfId="29" dataCellStyle="Input"/>
    <tableColumn id="7" name="Cost Incurred in Year 4 (I)" dataDxfId="28" dataCellStyle="Input"/>
    <tableColumn id="8" name="Cost Incurred in Year 5 (I)" dataDxfId="27" dataCellStyle="Input"/>
    <tableColumn id="9" name="Cost Incurred in Year 6 (I)" dataDxfId="26" dataCellStyle="Input"/>
    <tableColumn id="10" name="Cost Incurred in Year 7 (I)" dataDxfId="25" dataCellStyle="Input"/>
  </tableColumns>
  <tableStyleInfo showFirstColumn="0" showLastColumn="0" showRowStripes="1" showColumnStripes="0"/>
  <extLst>
    <ext xmlns:x14="http://schemas.microsoft.com/office/spreadsheetml/2009/9/main" uri="{504A1905-F514-4f6f-8877-14C23A59335A}">
      <x14:table altText="Table 4. Total Costs and Costs Incurred by Year for Mobile Devices." altTextSummary="This table identifies the costs for implementing Mobile Devices._x000d__x000a__x000d__x000a_We are assuming that the agency has no existing software licensing in place and that the agency is implementing a commercial off the shelf system._x000d__x000a__x000d__x000a_Costs will vary by improvement opportunity. _x000d__x000a__x000d__x000a_This table includes the name of the cost category, the notes and assumptions used to develop the default inputs and guide the user to modify the costs according to its construction program, the total cost, and the costs incurred in each year. Costs should be inputted in the year they are incurred."/>
    </ext>
  </extLst>
</table>
</file>

<file path=xl/tables/table46.xml><?xml version="1.0" encoding="utf-8"?>
<table xmlns="http://schemas.openxmlformats.org/spreadsheetml/2006/main" id="47" name="Table46" displayName="Table46" ref="A11:I18" totalsRowShown="0" headerRowDxfId="24" dataDxfId="22" headerRowBorderDxfId="23" tableBorderDxfId="21" totalsRowBorderDxfId="20" dataCellStyle="Comma">
  <autoFilter ref="A11:I18"/>
  <tableColumns count="9">
    <tableColumn id="1" name="Benefits (Quantifiable) (O)" dataDxfId="19"/>
    <tableColumn id="2" name="Total (O)" dataDxfId="18"/>
    <tableColumn id="3" name="Year 1 (O)" dataDxfId="17" dataCellStyle="Comma"/>
    <tableColumn id="4" name="Year 2 (O)" dataDxfId="16" dataCellStyle="Comma"/>
    <tableColumn id="5" name="Year 3 (O)" dataDxfId="15" dataCellStyle="Comma"/>
    <tableColumn id="6" name="Year 4 (O)" dataDxfId="14" dataCellStyle="Comma"/>
    <tableColumn id="7" name="Year 5 (O)" dataDxfId="13" dataCellStyle="Comma"/>
    <tableColumn id="8" name="Year 6 (O)" dataDxfId="12" dataCellStyle="Comma"/>
    <tableColumn id="9" name="Year 7 (O)" dataDxfId="11" dataCellStyle="Comma"/>
  </tableColumns>
  <tableStyleInfo showFirstColumn="0" showLastColumn="0" showRowStripes="1" showColumnStripes="0"/>
  <extLst>
    <ext xmlns:x14="http://schemas.microsoft.com/office/spreadsheetml/2009/9/main" uri="{504A1905-F514-4f6f-8877-14C23A59335A}">
      <x14:table altText="Table. Benefits (Quantifiable) for Mobile Devices." altTextSummary="This table includes the total benefits and the benefits realized in each year (over 7 years) for implementing Mobile Devices. The benefit streams were previously identified in Table 2."/>
    </ext>
  </extLst>
</table>
</file>

<file path=xl/tables/table47.xml><?xml version="1.0" encoding="utf-8"?>
<table xmlns="http://schemas.openxmlformats.org/spreadsheetml/2006/main" id="48" name="Table47" displayName="Table47" ref="A20:I37" totalsRowShown="0" headerRowDxfId="10" headerRowBorderDxfId="9" tableBorderDxfId="8" totalsRowBorderDxfId="7">
  <autoFilter ref="A20:I37"/>
  <tableColumns count="9">
    <tableColumn id="1" name="Costs (O)" dataDxfId="6"/>
    <tableColumn id="2" name="Total (O)" dataCellStyle="Output"/>
    <tableColumn id="3" name="Year 1 (O)" dataCellStyle="Output"/>
    <tableColumn id="4" name="Year 2 (O)" dataCellStyle="Output"/>
    <tableColumn id="5" name="Year 3 (O)" dataCellStyle="Output"/>
    <tableColumn id="6" name="Year 4 (O)" dataCellStyle="Output"/>
    <tableColumn id="7" name="Year 5 (O)" dataCellStyle="Output"/>
    <tableColumn id="8" name="Year 6 (O)" dataCellStyle="Output"/>
    <tableColumn id="9" name="Year 7 (O)" dataCellStyle="Output"/>
  </tableColumns>
  <tableStyleInfo showFirstColumn="0" showLastColumn="0" showRowStripes="1" showColumnStripes="0"/>
  <extLst>
    <ext xmlns:x14="http://schemas.microsoft.com/office/spreadsheetml/2009/9/main" uri="{504A1905-F514-4f6f-8877-14C23A59335A}">
      <x14:table altText="Table. Costs, Net Benefit, and Cumulative Benefit for Mobile Devices." altTextSummary="This table includes total costs and year by year costs (over 7 years) for implementing Mobile Devices, as identified in Table 4. _x000d__x000a__x000d__x000a_In addition, this table also calculates the Net Benefit (total benefits minus costs) for each year and the Cumulative Benefit (in the last two rows), using the Benefits included in the Benefits table above."/>
    </ext>
  </extLst>
</table>
</file>

<file path=xl/tables/table48.xml><?xml version="1.0" encoding="utf-8"?>
<table xmlns="http://schemas.openxmlformats.org/spreadsheetml/2006/main" id="50" name="Table48" displayName="Table48" ref="A6:D16" totalsRowShown="0" headerRowDxfId="5" tableBorderDxfId="4">
  <autoFilter ref="A6:D16"/>
  <tableColumns count="4">
    <tableColumn id="1" name="Benefit" dataDxfId="3"/>
    <tableColumn id="2" name="Annual Construction Program (I)" dataDxfId="2" dataCellStyle="Currency"/>
    <tableColumn id="3" name="% of Estimated Annual Savings (I)" dataDxfId="1" dataCellStyle="Percent"/>
    <tableColumn id="4" name="Estimated Annual Savings (O)" dataDxfId="0" dataCellStyle="Comma">
      <calculatedColumnFormula>C7*B7</calculatedColumnFormula>
    </tableColumn>
  </tableColumns>
  <tableStyleInfo showFirstColumn="0" showLastColumn="0" showRowStripes="1" showColumnStripes="0"/>
  <extLst>
    <ext xmlns:x14="http://schemas.microsoft.com/office/spreadsheetml/2009/9/main" uri="{504A1905-F514-4f6f-8877-14C23A59335A}">
      <x14:table altText="Table 1. Estimated Annual Savings for Seamless Integration." altTextSummary="This table identifies various integration opportunities between e-Construction tools and systems and the estimated annual savings for each integration opportunity. The estimated annual savings is calculated by multiplying the annual construction program with a % of estimated annual savings, which varies by integration."/>
    </ext>
  </extLst>
</table>
</file>

<file path=xl/tables/table5.xml><?xml version="1.0" encoding="utf-8"?>
<table xmlns="http://schemas.openxmlformats.org/spreadsheetml/2006/main" id="51" name="Table5" displayName="Table5" ref="A8:C15" totalsRowShown="0" headerRowDxfId="375" tableBorderDxfId="374">
  <autoFilter ref="A8:C15"/>
  <tableColumns count="3">
    <tableColumn id="1" name="Improvement Opportunity" dataDxfId="373"/>
    <tableColumn id="2" name="Breakeven Year (From start of project planning)" dataDxfId="372"/>
    <tableColumn id="3" name="7-Year ROI_x000a_(Rounded to nearest quarter)" dataDxfId="371"/>
  </tableColumns>
  <tableStyleInfo showFirstColumn="0" showLastColumn="0" showRowStripes="1" showColumnStripes="0"/>
  <extLst>
    <ext xmlns:x14="http://schemas.microsoft.com/office/spreadsheetml/2009/9/main" uri="{504A1905-F514-4f6f-8877-14C23A59335A}">
      <x14:table altText="Table 5. Summary of Breakeven Years and ROIs." altTextSummary="This table summarizes the results calculated based on the inputs provided in the tool. It lists the improvement opportunity and the corresponding breakeven year (from start of project planning) and the 7 Year Return on Investment (rounded to the nearest quarter percent)."/>
    </ext>
  </extLst>
</table>
</file>

<file path=xl/tables/table6.xml><?xml version="1.0" encoding="utf-8"?>
<table xmlns="http://schemas.openxmlformats.org/spreadsheetml/2006/main" id="26" name="Table6" displayName="Table6" ref="A11:D16" totalsRowShown="0" headerRowDxfId="370" dataDxfId="369" tableBorderDxfId="368">
  <autoFilter ref="A11:D16"/>
  <tableColumns count="4">
    <tableColumn id="1" name="Input Category (I)" dataCellStyle="Input"/>
    <tableColumn id="2" name="Input (I)" dataCellStyle="Input"/>
    <tableColumn id="3" name="Notes/Assumptions (N)" dataDxfId="367" dataCellStyle="Note"/>
    <tableColumn id="4" name="Benchmark Data (N)" dataDxfId="366" dataCellStyle="Note"/>
  </tableColumns>
  <tableStyleInfo name="TableStyleMedium2" showFirstColumn="0" showLastColumn="0" showRowStripes="1" showColumnStripes="0"/>
  <extLst>
    <ext xmlns:x14="http://schemas.microsoft.com/office/spreadsheetml/2009/9/main" uri="{504A1905-F514-4f6f-8877-14C23A59335A}">
      <x14:table altText="Table 1. Benefit Inputs for Electronic Bidding and Contract Award." altTextSummary="This table is intended for the user to enter in benefit inputs to calculate benefits streams for Electronic Bidding and Contract Award. The table states the inputs and provides default values for each input. Notes and Assumptions are provided to state the assumptions used to develop the default inputs and guidance is included to help agencies develop their own values. Benchmark data is also provided for each input, where available."/>
    </ext>
  </extLst>
</table>
</file>

<file path=xl/tables/table7.xml><?xml version="1.0" encoding="utf-8"?>
<table xmlns="http://schemas.openxmlformats.org/spreadsheetml/2006/main" id="27" name="Table7" displayName="Table7" ref="A11:J13" totalsRowShown="0" headerRowDxfId="365" dataDxfId="364" tableBorderDxfId="363" dataCellStyle="Percent">
  <autoFilter ref="A11:J13"/>
  <tableColumns count="10">
    <tableColumn id="1" name="Anticipated Benefit Stream (I)" dataDxfId="362" dataCellStyle="Input"/>
    <tableColumn id="2" name="Calculation/Assumptions (N)" dataDxfId="361" dataCellStyle="Note"/>
    <tableColumn id="3" name="Anticipated Benefits (in $) (O)" dataCellStyle="Output">
      <calculatedColumnFormula>'Bidding - Inputs 1'!B15*'Bidding - Inputs 1'!B13*'Bidding - Inputs 1'!B14</calculatedColumnFormula>
    </tableColumn>
    <tableColumn id="4" name="% of Benefits Realized in Year 1 (I)" dataDxfId="360" dataCellStyle="Input"/>
    <tableColumn id="5" name="% of Benefits Realized in Year 2 (I)" dataDxfId="359" dataCellStyle="Input"/>
    <tableColumn id="6" name="% of Benefits Realized in Year 3 (I)" dataDxfId="358" dataCellStyle="Input"/>
    <tableColumn id="7" name="% of Benefits Realized in Year 4 (I)" dataDxfId="357" dataCellStyle="Input"/>
    <tableColumn id="8" name="% of Benefits Realized in Year 5 (I)" dataDxfId="356" dataCellStyle="Input"/>
    <tableColumn id="9" name="% of Benefits Realized in Year 6 (I)" dataDxfId="355" dataCellStyle="Input"/>
    <tableColumn id="10" name="% of Benefits Realized in Year 7 (I)" dataDxfId="354" dataCellStyle="Input"/>
  </tableColumns>
  <tableStyleInfo name="TableStyleMedium2" showFirstColumn="0" showLastColumn="0" showRowStripes="1" showColumnStripes="0"/>
  <extLst>
    <ext xmlns:x14="http://schemas.microsoft.com/office/spreadsheetml/2009/9/main" uri="{504A1905-F514-4f6f-8877-14C23A59335A}">
      <x14:table altText="Table 2. Anticipated Benefit Streams and Percentage Realized by Year for Electronic Bidding and Contract Award." altTextSummary="This table identifies the anticipated benefit streams for Electronic Bidding and Contract_x000d__x000a_Award, using the benefit inputs entered in Table 1 in the previous tab to calculate the anticipated benefits._x000d__x000a__x000d__x000a_The table states the anticipated benefit stream, provides the calculations and assumptions that demonstrate how the benefit streams were calculated using the inputs in Table 1, and the total anticipated benefits. In addition, the table also allows the user to enter the % of benefits realized in each year (for up to seven years), since it may take a few years until an agency starts to realize benefits (to account for the time it takes to institutionalize the system, get users acquainted with the system, etc.)._x000d__x000a__x000d__x000a_7 years is the default timeframe that is used because it covers a longer timeframe than implementation and captures the full benefits realization for at least a couple of years. We are also assuming that hardware/software upgrade cycles occur every 3 to 5 years, which falls within this 7 year timeframe."/>
    </ext>
  </extLst>
</table>
</file>

<file path=xl/tables/table8.xml><?xml version="1.0" encoding="utf-8"?>
<table xmlns="http://schemas.openxmlformats.org/spreadsheetml/2006/main" id="30" name="Table8" displayName="Table8" ref="A11:F18" totalsRowShown="0" headerRowDxfId="353" dataDxfId="352" tableBorderDxfId="351">
  <autoFilter ref="A11:F18"/>
  <tableColumns count="6">
    <tableColumn id="1" name="Staff (I)" dataDxfId="350" dataCellStyle="Input"/>
    <tableColumn id="2" name="Time (# of Years) (I)" dataDxfId="349" dataCellStyle="Input"/>
    <tableColumn id="3" name="FTE (I)" dataDxfId="348" dataCellStyle="Input"/>
    <tableColumn id="4" name="Base Salary (I)" dataDxfId="347" dataCellStyle="Input"/>
    <tableColumn id="5" name="Overhead Rate (I)" dataDxfId="346" dataCellStyle="Input"/>
    <tableColumn id="6" name="(Salary + Overhead) * FTE* # of Years (O)" dataDxfId="345" dataCellStyle="Output"/>
  </tableColumns>
  <tableStyleInfo name="TableStyleMedium2" showFirstColumn="0" showLastColumn="0" showRowStripes="1" showColumnStripes="0"/>
  <extLst>
    <ext xmlns:x14="http://schemas.microsoft.com/office/spreadsheetml/2009/9/main" uri="{504A1905-F514-4f6f-8877-14C23A59335A}">
      <x14:table altText="Table 3. Staff Costs for Implementation and Ongoing Support for Electronic Bidding and Contract Award." altTextSummary="This table identifies the staff positions and associated costs for implementing an Electronic Bidding and Contract Award solution and ongoing support._x000d__x000a__x000d__x000a_Staff positions for each improvement opportunity will vary._x000d__x000a__x000d__x000a_The table includes the name of the staff position, and several data points that are used to calculate the total cost for each position (in the last column, Column F): the time (in the number of years) that the staff position is required, the number of FTEs needed, base salary of the staff position, and overhead rate."/>
    </ext>
  </extLst>
</table>
</file>

<file path=xl/tables/table9.xml><?xml version="1.0" encoding="utf-8"?>
<table xmlns="http://schemas.openxmlformats.org/spreadsheetml/2006/main" id="29" name="Table9" displayName="Table9" ref="A11:J22" totalsRowShown="0" headerRowDxfId="344" dataDxfId="343" tableBorderDxfId="342" dataCellStyle="Currency">
  <autoFilter ref="A11:J22"/>
  <tableColumns count="10">
    <tableColumn id="1" name="Costs (I)" dataDxfId="341" dataCellStyle="Input"/>
    <tableColumn id="2" name="Notes/Assumptions (N)" dataDxfId="340" dataCellStyle="Note"/>
    <tableColumn id="3" name="Total Cost (O)" dataDxfId="339" dataCellStyle="Output">
      <calculatedColumnFormula>SUM(D12:J12)</calculatedColumnFormula>
    </tableColumn>
    <tableColumn id="4" name="Cost Incurred in Year 1 (I)" dataDxfId="338" dataCellStyle="Input"/>
    <tableColumn id="5" name="Cost Incurred in Year 2 (I)" dataDxfId="337" dataCellStyle="Input"/>
    <tableColumn id="6" name="Cost Incurred in Year 3 (I)" dataDxfId="336" dataCellStyle="Input"/>
    <tableColumn id="7" name="Cost Incurred in Year 4 (I)" dataDxfId="335" dataCellStyle="Input"/>
    <tableColumn id="8" name="Cost Incurred in Year 5 (I)" dataDxfId="334" dataCellStyle="Input"/>
    <tableColumn id="9" name="Cost Incurred in Year 6 (I)" dataDxfId="333" dataCellStyle="Input"/>
    <tableColumn id="10" name="Cost Incurred in Year 7 (I)" dataDxfId="332" dataCellStyle="Input"/>
  </tableColumns>
  <tableStyleInfo name="TableStyleMedium2" showFirstColumn="0" showLastColumn="0" showRowStripes="1" showColumnStripes="0"/>
  <extLst>
    <ext xmlns:x14="http://schemas.microsoft.com/office/spreadsheetml/2009/9/main" uri="{504A1905-F514-4f6f-8877-14C23A59335A}">
      <x14:table altText="Table 4. Total Costs and Costs Incurred by Year for Electronic Bidding and Contract Award." altTextSummary="This table identifies the costs for implementing an Electronic Bidding and Contract Award solution._x000d__x000a__x000d__x000a_We are assuming that the agency has no existing software licensing in place and that the agency is implementing a commercial off the shelf system._x000d__x000a__x000d__x000a_Costs will vary by improvement opportunity. _x000d__x000a__x000d__x000a_This table includes the name of the cost category, the notes and assumptions used to develop the default inputs and guide the user to modify the costs according to its construction program, the total cost, and the costs incurred in each year. Costs should be inputted in the year they are incurred."/>
    </ext>
  </extLst>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2" Type="http://schemas.openxmlformats.org/officeDocument/2006/relationships/table" Target="../tables/table9.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3" Type="http://schemas.openxmlformats.org/officeDocument/2006/relationships/table" Target="../tables/table11.xml"/><Relationship Id="rId2" Type="http://schemas.openxmlformats.org/officeDocument/2006/relationships/table" Target="../tables/table10.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table" Target="../tables/table12.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table" Target="../tables/table13.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table" Target="../tables/table14.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table" Target="../tables/table15.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table" Target="../tables/table17.xml"/><Relationship Id="rId2" Type="http://schemas.openxmlformats.org/officeDocument/2006/relationships/table" Target="../tables/table16.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table" Target="../tables/table18.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table" Target="../tables/table19.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table" Target="../tables/table20.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table" Target="../tables/table21.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table" Target="../tables/table23.xml"/><Relationship Id="rId2" Type="http://schemas.openxmlformats.org/officeDocument/2006/relationships/table" Target="../tables/table22.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table" Target="../tables/table24.x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2" Type="http://schemas.openxmlformats.org/officeDocument/2006/relationships/table" Target="../tables/table25.x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2" Type="http://schemas.openxmlformats.org/officeDocument/2006/relationships/table" Target="../tables/table26.x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2" Type="http://schemas.openxmlformats.org/officeDocument/2006/relationships/table" Target="../tables/table27.x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table" Target="../tables/table29.xml"/><Relationship Id="rId2" Type="http://schemas.openxmlformats.org/officeDocument/2006/relationships/table" Target="../tables/table28.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table" Target="../tables/table30.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table" Target="../tables/table31.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table" Target="../tables/table32.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table" Target="../tables/table33.x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3" Type="http://schemas.openxmlformats.org/officeDocument/2006/relationships/table" Target="../tables/table35.xml"/><Relationship Id="rId2" Type="http://schemas.openxmlformats.org/officeDocument/2006/relationships/table" Target="../tables/table34.x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2" Type="http://schemas.openxmlformats.org/officeDocument/2006/relationships/table" Target="../tables/table36.xml"/><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2" Type="http://schemas.openxmlformats.org/officeDocument/2006/relationships/table" Target="../tables/table37.xml"/><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2" Type="http://schemas.openxmlformats.org/officeDocument/2006/relationships/table" Target="../tables/table38.xml"/><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2" Type="http://schemas.openxmlformats.org/officeDocument/2006/relationships/table" Target="../tables/table39.xml"/><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3" Type="http://schemas.openxmlformats.org/officeDocument/2006/relationships/table" Target="../tables/table41.xml"/><Relationship Id="rId2" Type="http://schemas.openxmlformats.org/officeDocument/2006/relationships/table" Target="../tables/table40.xml"/><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2" Type="http://schemas.openxmlformats.org/officeDocument/2006/relationships/table" Target="../tables/table42.xml"/><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2" Type="http://schemas.openxmlformats.org/officeDocument/2006/relationships/table" Target="../tables/table43.xml"/><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2" Type="http://schemas.openxmlformats.org/officeDocument/2006/relationships/table" Target="../tables/table44.xml"/><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2" Type="http://schemas.openxmlformats.org/officeDocument/2006/relationships/table" Target="../tables/table45.xml"/><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3" Type="http://schemas.openxmlformats.org/officeDocument/2006/relationships/table" Target="../tables/table47.xml"/><Relationship Id="rId2" Type="http://schemas.openxmlformats.org/officeDocument/2006/relationships/table" Target="../tables/table46.xml"/><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2" Type="http://schemas.openxmlformats.org/officeDocument/2006/relationships/table" Target="../tables/table48.xml"/><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table" Target="../tables/table5.xml"/><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table" Target="../tables/table8.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3"/>
  <sheetViews>
    <sheetView topLeftCell="A19" zoomScale="85" zoomScaleNormal="85" workbookViewId="0">
      <selection activeCell="L25" sqref="L25"/>
    </sheetView>
  </sheetViews>
  <sheetFormatPr defaultRowHeight="15" x14ac:dyDescent="0.25"/>
  <cols>
    <col min="1" max="1" width="39.7109375" customWidth="1"/>
    <col min="2" max="2" width="18" bestFit="1" customWidth="1"/>
    <col min="3" max="3" width="14.7109375" customWidth="1"/>
    <col min="4" max="4" width="14.42578125" bestFit="1" customWidth="1"/>
    <col min="5" max="7" width="14.42578125" customWidth="1"/>
    <col min="8" max="8" width="11" customWidth="1"/>
  </cols>
  <sheetData>
    <row r="1" spans="1:8" x14ac:dyDescent="0.25">
      <c r="A1" s="4" t="s">
        <v>5</v>
      </c>
      <c r="B1" s="1"/>
      <c r="C1" s="1"/>
      <c r="D1" s="1"/>
      <c r="E1" s="1"/>
      <c r="F1" s="1"/>
      <c r="G1" s="1"/>
      <c r="H1" s="2" t="s">
        <v>3</v>
      </c>
    </row>
    <row r="2" spans="1:8" ht="30" x14ac:dyDescent="0.25">
      <c r="A2" s="1" t="s">
        <v>0</v>
      </c>
      <c r="B2" s="1">
        <v>6</v>
      </c>
      <c r="C2" s="1">
        <v>10</v>
      </c>
      <c r="D2" s="1">
        <v>20</v>
      </c>
      <c r="E2" s="1">
        <v>23</v>
      </c>
      <c r="F2" s="1">
        <v>27</v>
      </c>
      <c r="G2" s="1">
        <v>35</v>
      </c>
      <c r="H2" s="2" t="s">
        <v>8</v>
      </c>
    </row>
    <row r="3" spans="1:8" ht="24.75" customHeight="1" x14ac:dyDescent="0.25">
      <c r="A3" s="1"/>
      <c r="B3" s="1" t="s">
        <v>28</v>
      </c>
      <c r="C3" s="1" t="s">
        <v>29</v>
      </c>
      <c r="D3" s="1" t="s">
        <v>30</v>
      </c>
      <c r="E3" s="1" t="s">
        <v>28</v>
      </c>
      <c r="F3" s="1" t="s">
        <v>29</v>
      </c>
      <c r="G3" s="1" t="s">
        <v>1</v>
      </c>
      <c r="H3" s="2"/>
    </row>
    <row r="4" spans="1:8" x14ac:dyDescent="0.25">
      <c r="A4" s="1" t="s">
        <v>2</v>
      </c>
      <c r="B4" s="3">
        <v>7000</v>
      </c>
      <c r="C4" s="3">
        <v>19000</v>
      </c>
      <c r="D4" s="3">
        <v>250000</v>
      </c>
      <c r="E4" s="3">
        <v>7000</v>
      </c>
      <c r="F4" s="3">
        <v>19000</v>
      </c>
      <c r="G4" s="3">
        <v>1500000</v>
      </c>
      <c r="H4" s="5">
        <f>(SUM(B4:G4))/G2</f>
        <v>51485.714285714283</v>
      </c>
    </row>
    <row r="5" spans="1:8" ht="30" customHeight="1" x14ac:dyDescent="0.25">
      <c r="A5" s="611" t="s">
        <v>37</v>
      </c>
      <c r="B5" s="611"/>
      <c r="C5" s="611"/>
      <c r="D5" s="611"/>
      <c r="E5" s="611"/>
      <c r="F5" s="611"/>
      <c r="G5" s="611"/>
      <c r="H5" s="611"/>
    </row>
    <row r="8" spans="1:8" x14ac:dyDescent="0.25">
      <c r="A8" s="10" t="s">
        <v>4</v>
      </c>
      <c r="C8" s="19" t="s">
        <v>31</v>
      </c>
      <c r="D8" s="7"/>
    </row>
    <row r="9" spans="1:8" ht="30" customHeight="1" x14ac:dyDescent="0.25">
      <c r="A9" s="9" t="s">
        <v>6</v>
      </c>
      <c r="B9" s="11">
        <v>267000000</v>
      </c>
      <c r="C9" s="613" t="s">
        <v>36</v>
      </c>
      <c r="D9" s="613"/>
      <c r="E9" s="613"/>
      <c r="F9" s="613"/>
      <c r="G9" s="613"/>
      <c r="H9" s="613"/>
    </row>
    <row r="10" spans="1:8" ht="60" customHeight="1" x14ac:dyDescent="0.25">
      <c r="A10" s="9" t="s">
        <v>7</v>
      </c>
      <c r="B10" s="12">
        <v>30260</v>
      </c>
      <c r="C10" s="613" t="s">
        <v>38</v>
      </c>
      <c r="D10" s="613"/>
      <c r="E10" s="613"/>
      <c r="F10" s="613"/>
      <c r="G10" s="613"/>
      <c r="H10" s="613"/>
    </row>
    <row r="11" spans="1:8" x14ac:dyDescent="0.25">
      <c r="A11" s="9" t="s">
        <v>2</v>
      </c>
      <c r="B11" s="13">
        <f>B9/B10</f>
        <v>8823.5294117647063</v>
      </c>
      <c r="C11" s="17"/>
      <c r="D11" s="17"/>
      <c r="E11" s="18"/>
      <c r="F11" s="18"/>
      <c r="G11" s="18"/>
      <c r="H11" s="18"/>
    </row>
    <row r="12" spans="1:8" x14ac:dyDescent="0.25">
      <c r="A12" s="9"/>
      <c r="B12" s="12"/>
      <c r="C12" s="17"/>
      <c r="D12" s="17"/>
      <c r="E12" s="18"/>
      <c r="F12" s="18"/>
      <c r="G12" s="18"/>
      <c r="H12" s="18"/>
    </row>
    <row r="13" spans="1:8" x14ac:dyDescent="0.25">
      <c r="A13" s="10" t="s">
        <v>9</v>
      </c>
      <c r="B13" s="12"/>
      <c r="C13" s="17"/>
      <c r="D13" s="17"/>
      <c r="E13" s="18"/>
      <c r="F13" s="18"/>
      <c r="G13" s="18"/>
      <c r="H13" s="18"/>
    </row>
    <row r="14" spans="1:8" ht="30" customHeight="1" x14ac:dyDescent="0.25">
      <c r="A14" s="9" t="s">
        <v>10</v>
      </c>
      <c r="B14" s="14">
        <v>0.03</v>
      </c>
      <c r="C14" s="613" t="s">
        <v>39</v>
      </c>
      <c r="D14" s="613"/>
      <c r="E14" s="613"/>
      <c r="F14" s="613"/>
      <c r="G14" s="613"/>
      <c r="H14" s="613"/>
    </row>
    <row r="15" spans="1:8" x14ac:dyDescent="0.25">
      <c r="A15" s="9" t="s">
        <v>11</v>
      </c>
      <c r="B15" s="14">
        <v>0.01</v>
      </c>
      <c r="C15" s="17"/>
      <c r="D15" s="17"/>
      <c r="E15" s="18"/>
      <c r="F15" s="18"/>
      <c r="G15" s="18"/>
      <c r="H15" s="18"/>
    </row>
    <row r="16" spans="1:8" x14ac:dyDescent="0.25">
      <c r="A16" s="9" t="s">
        <v>12</v>
      </c>
      <c r="B16" s="14">
        <f>B14-B15</f>
        <v>1.9999999999999997E-2</v>
      </c>
      <c r="C16" s="17"/>
      <c r="D16" s="17"/>
      <c r="E16" s="18"/>
      <c r="F16" s="18"/>
      <c r="G16" s="18"/>
      <c r="H16" s="18"/>
    </row>
    <row r="17" spans="1:8" x14ac:dyDescent="0.25">
      <c r="A17" s="9" t="s">
        <v>13</v>
      </c>
      <c r="B17" s="13">
        <f>(H4+B11)*B16</f>
        <v>1206.1848739495797</v>
      </c>
      <c r="C17" s="17"/>
      <c r="D17" s="17"/>
      <c r="E17" s="18"/>
      <c r="F17" s="18"/>
      <c r="G17" s="18"/>
      <c r="H17" s="18"/>
    </row>
    <row r="18" spans="1:8" x14ac:dyDescent="0.25">
      <c r="A18" s="9"/>
      <c r="B18" s="12"/>
      <c r="C18" s="17"/>
      <c r="D18" s="17"/>
      <c r="E18" s="18"/>
      <c r="F18" s="18"/>
      <c r="G18" s="18"/>
      <c r="H18" s="18"/>
    </row>
    <row r="19" spans="1:8" x14ac:dyDescent="0.25">
      <c r="A19" s="10" t="s">
        <v>14</v>
      </c>
      <c r="B19" s="12"/>
      <c r="C19" s="17"/>
      <c r="D19" s="17"/>
      <c r="E19" s="18"/>
      <c r="F19" s="18"/>
      <c r="G19" s="18"/>
      <c r="H19" s="18"/>
    </row>
    <row r="20" spans="1:8" ht="45" customHeight="1" x14ac:dyDescent="0.25">
      <c r="A20" s="9" t="s">
        <v>15</v>
      </c>
      <c r="B20" s="11">
        <v>23333</v>
      </c>
      <c r="C20" s="613" t="s">
        <v>40</v>
      </c>
      <c r="D20" s="613"/>
      <c r="E20" s="613"/>
      <c r="F20" s="613"/>
      <c r="G20" s="613"/>
      <c r="H20" s="613"/>
    </row>
    <row r="21" spans="1:8" x14ac:dyDescent="0.25">
      <c r="A21" s="9" t="s">
        <v>7</v>
      </c>
      <c r="B21" s="15">
        <f>B10</f>
        <v>30260</v>
      </c>
      <c r="C21" s="17"/>
      <c r="D21" s="17"/>
      <c r="E21" s="18"/>
      <c r="F21" s="18"/>
      <c r="G21" s="18"/>
      <c r="H21" s="18"/>
    </row>
    <row r="22" spans="1:8" x14ac:dyDescent="0.25">
      <c r="A22" s="9" t="s">
        <v>16</v>
      </c>
      <c r="B22" s="13">
        <f>B20/B21</f>
        <v>0.77108393919365503</v>
      </c>
      <c r="C22" s="17"/>
      <c r="D22" s="17"/>
      <c r="E22" s="18"/>
      <c r="F22" s="18"/>
      <c r="G22" s="18"/>
      <c r="H22" s="18"/>
    </row>
    <row r="23" spans="1:8" x14ac:dyDescent="0.25">
      <c r="A23" s="9"/>
      <c r="B23" s="12"/>
      <c r="C23" s="17"/>
      <c r="D23" s="17"/>
      <c r="E23" s="18"/>
      <c r="F23" s="18"/>
      <c r="G23" s="18"/>
      <c r="H23" s="18"/>
    </row>
    <row r="24" spans="1:8" x14ac:dyDescent="0.25">
      <c r="A24" s="10" t="s">
        <v>17</v>
      </c>
      <c r="B24" s="12"/>
      <c r="C24" s="17"/>
      <c r="D24" s="17"/>
      <c r="E24" s="18"/>
      <c r="F24" s="18"/>
      <c r="G24" s="18"/>
      <c r="H24" s="18"/>
    </row>
    <row r="25" spans="1:8" ht="30" customHeight="1" x14ac:dyDescent="0.25">
      <c r="A25" s="9" t="s">
        <v>18</v>
      </c>
      <c r="B25" s="16">
        <v>619224</v>
      </c>
      <c r="C25" s="614" t="s">
        <v>32</v>
      </c>
      <c r="D25" s="614"/>
      <c r="E25" s="614"/>
      <c r="F25" s="614"/>
      <c r="G25" s="614"/>
      <c r="H25" s="614"/>
    </row>
    <row r="26" spans="1:8" x14ac:dyDescent="0.25">
      <c r="A26" s="9"/>
      <c r="B26" s="12"/>
      <c r="C26" s="17"/>
      <c r="D26" s="17"/>
      <c r="E26" s="18"/>
      <c r="F26" s="18"/>
      <c r="G26" s="18"/>
      <c r="H26" s="18"/>
    </row>
    <row r="27" spans="1:8" x14ac:dyDescent="0.25">
      <c r="A27" s="10" t="s">
        <v>19</v>
      </c>
      <c r="B27" s="12"/>
      <c r="C27" s="17"/>
      <c r="D27" s="17"/>
      <c r="E27" s="18"/>
      <c r="F27" s="18"/>
      <c r="G27" s="18"/>
      <c r="H27" s="18"/>
    </row>
    <row r="28" spans="1:8" ht="30" customHeight="1" x14ac:dyDescent="0.25">
      <c r="A28" s="9" t="s">
        <v>20</v>
      </c>
      <c r="B28" s="11">
        <v>1044839680</v>
      </c>
      <c r="C28" s="613" t="s">
        <v>41</v>
      </c>
      <c r="D28" s="613"/>
      <c r="E28" s="613"/>
      <c r="F28" s="613"/>
      <c r="G28" s="613"/>
      <c r="H28" s="613"/>
    </row>
    <row r="29" spans="1:8" x14ac:dyDescent="0.25">
      <c r="A29" s="9" t="s">
        <v>7</v>
      </c>
      <c r="B29" s="15">
        <f>B10</f>
        <v>30260</v>
      </c>
      <c r="C29" s="8"/>
      <c r="D29" s="612" t="s">
        <v>33</v>
      </c>
      <c r="E29" s="612"/>
      <c r="F29" s="612"/>
      <c r="G29" s="612"/>
      <c r="H29" s="612"/>
    </row>
    <row r="30" spans="1:8" ht="29.25" customHeight="1" x14ac:dyDescent="0.25">
      <c r="A30" s="9" t="s">
        <v>21</v>
      </c>
      <c r="B30" s="13">
        <f>B28/B29</f>
        <v>34528.74025115664</v>
      </c>
      <c r="C30" s="8"/>
      <c r="D30" s="612" t="s">
        <v>34</v>
      </c>
      <c r="E30" s="612"/>
      <c r="F30" s="612"/>
      <c r="G30" s="612"/>
      <c r="H30" s="612"/>
    </row>
    <row r="31" spans="1:8" x14ac:dyDescent="0.25">
      <c r="A31" s="9"/>
      <c r="B31" s="12"/>
      <c r="C31" s="8"/>
      <c r="D31" s="612" t="s">
        <v>35</v>
      </c>
      <c r="E31" s="612"/>
      <c r="F31" s="612"/>
      <c r="G31" s="612"/>
      <c r="H31" s="612"/>
    </row>
    <row r="32" spans="1:8" x14ac:dyDescent="0.25">
      <c r="A32" s="10" t="s">
        <v>22</v>
      </c>
      <c r="B32" s="12"/>
    </row>
    <row r="33" spans="1:5" x14ac:dyDescent="0.25">
      <c r="A33" s="9" t="s">
        <v>23</v>
      </c>
      <c r="B33" s="12">
        <v>0</v>
      </c>
    </row>
    <row r="34" spans="1:5" x14ac:dyDescent="0.25">
      <c r="A34" s="9" t="s">
        <v>24</v>
      </c>
      <c r="B34" s="12">
        <v>0</v>
      </c>
      <c r="E34" s="6"/>
    </row>
    <row r="35" spans="1:5" x14ac:dyDescent="0.25">
      <c r="A35" s="9" t="s">
        <v>25</v>
      </c>
      <c r="B35" s="16">
        <f>SUM(B33:B34)</f>
        <v>0</v>
      </c>
    </row>
    <row r="36" spans="1:5" x14ac:dyDescent="0.25">
      <c r="A36" s="9"/>
      <c r="B36" s="12"/>
    </row>
    <row r="37" spans="1:5" x14ac:dyDescent="0.25">
      <c r="A37" s="9"/>
      <c r="B37" s="12"/>
    </row>
    <row r="38" spans="1:5" x14ac:dyDescent="0.25">
      <c r="A38" s="9"/>
      <c r="B38" s="12"/>
    </row>
    <row r="39" spans="1:5" x14ac:dyDescent="0.25">
      <c r="A39" s="9"/>
      <c r="B39" s="12"/>
    </row>
    <row r="40" spans="1:5" x14ac:dyDescent="0.25">
      <c r="A40" s="9"/>
      <c r="B40" s="12"/>
    </row>
    <row r="41" spans="1:5" x14ac:dyDescent="0.25">
      <c r="A41" s="9"/>
    </row>
    <row r="42" spans="1:5" x14ac:dyDescent="0.25">
      <c r="A42" s="9"/>
    </row>
    <row r="43" spans="1:5" x14ac:dyDescent="0.25">
      <c r="A43" s="9"/>
    </row>
  </sheetData>
  <mergeCells count="10">
    <mergeCell ref="A5:H5"/>
    <mergeCell ref="D30:H30"/>
    <mergeCell ref="D31:H31"/>
    <mergeCell ref="C14:H14"/>
    <mergeCell ref="C9:H9"/>
    <mergeCell ref="C10:H10"/>
    <mergeCell ref="C20:H20"/>
    <mergeCell ref="C25:H25"/>
    <mergeCell ref="C28:H28"/>
    <mergeCell ref="D29:H29"/>
  </mergeCell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O22"/>
  <sheetViews>
    <sheetView zoomScale="70" zoomScaleNormal="70" workbookViewId="0">
      <pane ySplit="11" topLeftCell="A12" activePane="bottomLeft" state="frozen"/>
      <selection activeCell="D34" sqref="D34"/>
      <selection pane="bottomLeft" activeCell="A12" sqref="A12"/>
    </sheetView>
  </sheetViews>
  <sheetFormatPr defaultColWidth="8.85546875" defaultRowHeight="15.75" x14ac:dyDescent="0.25"/>
  <cols>
    <col min="1" max="1" width="38.42578125" style="94" customWidth="1"/>
    <col min="2" max="2" width="98.7109375" style="94" customWidth="1"/>
    <col min="3" max="3" width="19.85546875" style="94" customWidth="1"/>
    <col min="4" max="4" width="17.140625" style="94" customWidth="1"/>
    <col min="5" max="5" width="16.85546875" style="94" customWidth="1"/>
    <col min="6" max="6" width="16.42578125" style="94" customWidth="1"/>
    <col min="7" max="7" width="16.7109375" style="94" customWidth="1"/>
    <col min="8" max="8" width="16.28515625" style="94" customWidth="1"/>
    <col min="9" max="9" width="16.85546875" style="94" customWidth="1"/>
    <col min="10" max="10" width="16.7109375" style="94" customWidth="1"/>
    <col min="11" max="16384" width="8.85546875" style="94"/>
  </cols>
  <sheetData>
    <row r="1" spans="1:15" ht="26.25" customHeight="1" x14ac:dyDescent="0.35">
      <c r="A1" s="525" t="s">
        <v>291</v>
      </c>
      <c r="B1" s="161"/>
      <c r="C1" s="161"/>
      <c r="D1" s="161"/>
      <c r="E1" s="161"/>
      <c r="F1" s="161"/>
      <c r="G1" s="161"/>
      <c r="H1" s="161"/>
      <c r="I1" s="161"/>
      <c r="J1" s="161"/>
    </row>
    <row r="2" spans="1:15" ht="18.75" x14ac:dyDescent="0.3">
      <c r="A2" s="526" t="s">
        <v>148</v>
      </c>
      <c r="B2" s="161"/>
      <c r="C2" s="161"/>
      <c r="D2" s="161"/>
      <c r="E2" s="161"/>
      <c r="F2" s="161"/>
      <c r="G2" s="161"/>
      <c r="H2" s="161"/>
      <c r="I2" s="161"/>
      <c r="J2" s="161"/>
    </row>
    <row r="3" spans="1:15" ht="16.5" thickBot="1" x14ac:dyDescent="0.3"/>
    <row r="4" spans="1:15" ht="55.5" customHeight="1" thickTop="1" thickBot="1" x14ac:dyDescent="0.3">
      <c r="A4" s="626" t="s">
        <v>263</v>
      </c>
      <c r="B4" s="627"/>
      <c r="C4" s="627"/>
      <c r="D4" s="627"/>
      <c r="E4" s="627"/>
      <c r="F4" s="627"/>
      <c r="G4" s="627"/>
      <c r="H4" s="627"/>
      <c r="I4" s="627"/>
      <c r="J4" s="628"/>
      <c r="K4" s="81"/>
      <c r="L4" s="81"/>
      <c r="M4" s="81"/>
      <c r="N4" s="81"/>
      <c r="O4" s="81"/>
    </row>
    <row r="5" spans="1:15" ht="16.5" thickTop="1" x14ac:dyDescent="0.25">
      <c r="A5" s="80"/>
      <c r="B5" s="80"/>
      <c r="C5" s="80"/>
      <c r="D5" s="80"/>
      <c r="E5" s="80"/>
      <c r="F5" s="80"/>
      <c r="G5" s="80"/>
      <c r="H5" s="80"/>
      <c r="I5" s="80"/>
      <c r="J5" s="80"/>
      <c r="K5" s="80"/>
      <c r="L5" s="80"/>
      <c r="M5" s="80"/>
      <c r="N5" s="80"/>
      <c r="O5" s="80"/>
    </row>
    <row r="6" spans="1:15" ht="18.75" x14ac:dyDescent="0.3">
      <c r="A6" s="530" t="s">
        <v>60</v>
      </c>
      <c r="B6" s="88"/>
      <c r="C6" s="88"/>
      <c r="D6" s="88"/>
      <c r="E6" s="88"/>
      <c r="F6" s="88"/>
      <c r="G6" s="88"/>
      <c r="H6" s="88"/>
      <c r="I6" s="88"/>
      <c r="J6" s="88"/>
    </row>
    <row r="7" spans="1:15" ht="66.75" customHeight="1" x14ac:dyDescent="0.25">
      <c r="A7" s="638" t="s">
        <v>494</v>
      </c>
      <c r="B7" s="639"/>
      <c r="C7" s="639"/>
      <c r="D7" s="639"/>
      <c r="E7" s="639"/>
      <c r="F7" s="639"/>
      <c r="G7" s="639"/>
      <c r="H7" s="639"/>
      <c r="I7" s="639"/>
      <c r="J7" s="640"/>
    </row>
    <row r="9" spans="1:15" s="95" customFormat="1" x14ac:dyDescent="0.25">
      <c r="A9" s="546" t="s">
        <v>454</v>
      </c>
      <c r="B9" s="138"/>
      <c r="C9" s="138"/>
      <c r="D9" s="138"/>
      <c r="E9" s="138"/>
      <c r="F9" s="138"/>
      <c r="G9" s="138"/>
      <c r="H9" s="138"/>
      <c r="I9" s="138"/>
      <c r="J9" s="138"/>
    </row>
    <row r="10" spans="1:15" x14ac:dyDescent="0.25">
      <c r="A10" s="138"/>
      <c r="B10" s="138"/>
      <c r="C10" s="138"/>
      <c r="D10" s="120"/>
      <c r="E10" s="120"/>
      <c r="F10" s="120"/>
      <c r="G10" s="120"/>
      <c r="H10" s="120"/>
      <c r="I10" s="120"/>
      <c r="J10" s="134"/>
      <c r="K10" s="95"/>
    </row>
    <row r="11" spans="1:15" ht="31.5" x14ac:dyDescent="0.25">
      <c r="A11" s="162" t="s">
        <v>294</v>
      </c>
      <c r="B11" s="162" t="s">
        <v>293</v>
      </c>
      <c r="C11" s="163" t="s">
        <v>273</v>
      </c>
      <c r="D11" s="164" t="s">
        <v>283</v>
      </c>
      <c r="E11" s="165" t="s">
        <v>284</v>
      </c>
      <c r="F11" s="165" t="s">
        <v>285</v>
      </c>
      <c r="G11" s="165" t="s">
        <v>286</v>
      </c>
      <c r="H11" s="165" t="s">
        <v>462</v>
      </c>
      <c r="I11" s="165" t="s">
        <v>287</v>
      </c>
      <c r="J11" s="166" t="s">
        <v>288</v>
      </c>
    </row>
    <row r="12" spans="1:15" ht="31.5" x14ac:dyDescent="0.25">
      <c r="A12" s="499" t="s">
        <v>50</v>
      </c>
      <c r="B12" s="501" t="s">
        <v>244</v>
      </c>
      <c r="C12" s="391">
        <f t="shared" ref="C12:C22" si="0">SUM(D12:J12)</f>
        <v>135000</v>
      </c>
      <c r="D12" s="392">
        <v>135000</v>
      </c>
      <c r="E12" s="392">
        <v>0</v>
      </c>
      <c r="F12" s="392">
        <v>0</v>
      </c>
      <c r="G12" s="392">
        <v>0</v>
      </c>
      <c r="H12" s="392">
        <v>0</v>
      </c>
      <c r="I12" s="392">
        <v>0</v>
      </c>
      <c r="J12" s="392">
        <v>0</v>
      </c>
    </row>
    <row r="13" spans="1:15" ht="47.25" x14ac:dyDescent="0.25">
      <c r="A13" s="500" t="s">
        <v>51</v>
      </c>
      <c r="B13" s="501" t="s">
        <v>245</v>
      </c>
      <c r="C13" s="391">
        <f t="shared" si="0"/>
        <v>140000</v>
      </c>
      <c r="D13" s="392">
        <v>20000</v>
      </c>
      <c r="E13" s="392">
        <f t="shared" ref="E13:J13" si="1">D13</f>
        <v>20000</v>
      </c>
      <c r="F13" s="392">
        <f t="shared" si="1"/>
        <v>20000</v>
      </c>
      <c r="G13" s="392">
        <f t="shared" si="1"/>
        <v>20000</v>
      </c>
      <c r="H13" s="392">
        <f t="shared" si="1"/>
        <v>20000</v>
      </c>
      <c r="I13" s="392">
        <f t="shared" si="1"/>
        <v>20000</v>
      </c>
      <c r="J13" s="392">
        <f t="shared" si="1"/>
        <v>20000</v>
      </c>
    </row>
    <row r="14" spans="1:15" ht="63" x14ac:dyDescent="0.25">
      <c r="A14" s="499" t="s">
        <v>52</v>
      </c>
      <c r="B14" s="501" t="s">
        <v>274</v>
      </c>
      <c r="C14" s="391">
        <f t="shared" si="0"/>
        <v>0</v>
      </c>
      <c r="D14" s="393">
        <v>0</v>
      </c>
      <c r="E14" s="393">
        <v>0</v>
      </c>
      <c r="F14" s="393">
        <v>0</v>
      </c>
      <c r="G14" s="393">
        <v>0</v>
      </c>
      <c r="H14" s="393">
        <v>0</v>
      </c>
      <c r="I14" s="393">
        <v>0</v>
      </c>
      <c r="J14" s="393">
        <v>0</v>
      </c>
    </row>
    <row r="15" spans="1:15" ht="63" x14ac:dyDescent="0.25">
      <c r="A15" s="499" t="s">
        <v>53</v>
      </c>
      <c r="B15" s="501" t="s">
        <v>275</v>
      </c>
      <c r="C15" s="391">
        <f t="shared" si="0"/>
        <v>500000</v>
      </c>
      <c r="D15" s="392">
        <f>500000*80%</f>
        <v>400000</v>
      </c>
      <c r="E15" s="392">
        <f>500000*20%</f>
        <v>100000</v>
      </c>
      <c r="F15" s="392" t="s">
        <v>306</v>
      </c>
      <c r="G15" s="392" t="s">
        <v>306</v>
      </c>
      <c r="H15" s="392" t="s">
        <v>306</v>
      </c>
      <c r="I15" s="392" t="s">
        <v>306</v>
      </c>
      <c r="J15" s="392" t="s">
        <v>306</v>
      </c>
    </row>
    <row r="16" spans="1:15" x14ac:dyDescent="0.25">
      <c r="A16" s="499" t="s">
        <v>54</v>
      </c>
      <c r="B16" s="501" t="s">
        <v>276</v>
      </c>
      <c r="C16" s="391">
        <f t="shared" si="0"/>
        <v>0</v>
      </c>
      <c r="D16" s="392">
        <v>0</v>
      </c>
      <c r="E16" s="392">
        <v>0</v>
      </c>
      <c r="F16" s="392">
        <v>0</v>
      </c>
      <c r="G16" s="392">
        <v>0</v>
      </c>
      <c r="H16" s="392">
        <v>0</v>
      </c>
      <c r="I16" s="392">
        <v>0</v>
      </c>
      <c r="J16" s="392">
        <v>0</v>
      </c>
    </row>
    <row r="17" spans="1:10" ht="31.5" x14ac:dyDescent="0.25">
      <c r="A17" s="499" t="s">
        <v>55</v>
      </c>
      <c r="B17" s="501" t="s">
        <v>277</v>
      </c>
      <c r="C17" s="391">
        <f t="shared" si="0"/>
        <v>0</v>
      </c>
      <c r="D17" s="392">
        <v>0</v>
      </c>
      <c r="E17" s="392">
        <v>0</v>
      </c>
      <c r="F17" s="392">
        <v>0</v>
      </c>
      <c r="G17" s="392">
        <v>0</v>
      </c>
      <c r="H17" s="392">
        <v>0</v>
      </c>
      <c r="I17" s="392">
        <v>0</v>
      </c>
      <c r="J17" s="392">
        <v>0</v>
      </c>
    </row>
    <row r="18" spans="1:10" ht="31.5" x14ac:dyDescent="0.25">
      <c r="A18" s="499" t="s">
        <v>56</v>
      </c>
      <c r="B18" s="501" t="s">
        <v>246</v>
      </c>
      <c r="C18" s="391">
        <f t="shared" si="0"/>
        <v>0</v>
      </c>
      <c r="D18" s="392">
        <v>0</v>
      </c>
      <c r="E18" s="392">
        <v>0</v>
      </c>
      <c r="F18" s="392">
        <v>0</v>
      </c>
      <c r="G18" s="392">
        <v>0</v>
      </c>
      <c r="H18" s="392">
        <v>0</v>
      </c>
      <c r="I18" s="392">
        <v>0</v>
      </c>
      <c r="J18" s="392">
        <v>0</v>
      </c>
    </row>
    <row r="19" spans="1:10" ht="47.25" x14ac:dyDescent="0.25">
      <c r="A19" s="499" t="s">
        <v>151</v>
      </c>
      <c r="B19" s="501" t="s">
        <v>278</v>
      </c>
      <c r="C19" s="391">
        <f t="shared" si="0"/>
        <v>0</v>
      </c>
      <c r="D19" s="392">
        <v>0</v>
      </c>
      <c r="E19" s="392">
        <v>0</v>
      </c>
      <c r="F19" s="392">
        <v>0</v>
      </c>
      <c r="G19" s="392">
        <v>0</v>
      </c>
      <c r="H19" s="392">
        <v>0</v>
      </c>
      <c r="I19" s="392">
        <v>0</v>
      </c>
      <c r="J19" s="392">
        <v>0</v>
      </c>
    </row>
    <row r="20" spans="1:10" ht="47.25" x14ac:dyDescent="0.25">
      <c r="A20" s="499" t="s">
        <v>141</v>
      </c>
      <c r="B20" s="501" t="s">
        <v>322</v>
      </c>
      <c r="C20" s="391">
        <f t="shared" si="0"/>
        <v>315000</v>
      </c>
      <c r="D20" s="392">
        <f>'Bidding - Inputs 3'!F17*90%</f>
        <v>283500</v>
      </c>
      <c r="E20" s="392">
        <f>'Bidding - Inputs 3'!F17*10%</f>
        <v>31500</v>
      </c>
      <c r="F20" s="392">
        <v>0</v>
      </c>
      <c r="G20" s="392">
        <v>0</v>
      </c>
      <c r="H20" s="392">
        <v>0</v>
      </c>
      <c r="I20" s="392">
        <v>0</v>
      </c>
      <c r="J20" s="392">
        <v>0</v>
      </c>
    </row>
    <row r="21" spans="1:10" ht="31.5" x14ac:dyDescent="0.25">
      <c r="A21" s="499" t="s">
        <v>59</v>
      </c>
      <c r="B21" s="501" t="s">
        <v>247</v>
      </c>
      <c r="C21" s="391">
        <f t="shared" si="0"/>
        <v>162000</v>
      </c>
      <c r="D21" s="392">
        <v>0</v>
      </c>
      <c r="E21" s="392">
        <f>'Bidding - Inputs 3'!F18</f>
        <v>27000</v>
      </c>
      <c r="F21" s="392">
        <f>E21</f>
        <v>27000</v>
      </c>
      <c r="G21" s="392">
        <f>F21</f>
        <v>27000</v>
      </c>
      <c r="H21" s="392">
        <f>G21</f>
        <v>27000</v>
      </c>
      <c r="I21" s="392">
        <f>H21</f>
        <v>27000</v>
      </c>
      <c r="J21" s="392">
        <f>I21</f>
        <v>27000</v>
      </c>
    </row>
    <row r="22" spans="1:10" ht="47.25" x14ac:dyDescent="0.25">
      <c r="A22" s="499" t="s">
        <v>58</v>
      </c>
      <c r="B22" s="501" t="s">
        <v>279</v>
      </c>
      <c r="C22" s="391">
        <f t="shared" si="0"/>
        <v>150000</v>
      </c>
      <c r="D22" s="392">
        <v>0</v>
      </c>
      <c r="E22" s="392">
        <v>0</v>
      </c>
      <c r="F22" s="392">
        <v>0</v>
      </c>
      <c r="G22" s="392">
        <f>C15*15%</f>
        <v>75000</v>
      </c>
      <c r="H22" s="392">
        <v>0</v>
      </c>
      <c r="I22" s="392">
        <v>0</v>
      </c>
      <c r="J22" s="392">
        <f>G22</f>
        <v>75000</v>
      </c>
    </row>
  </sheetData>
  <mergeCells count="2">
    <mergeCell ref="A4:J4"/>
    <mergeCell ref="A7:J7"/>
  </mergeCells>
  <pageMargins left="0.7" right="0.7" top="0.75" bottom="0.75" header="0.3" footer="0.3"/>
  <pageSetup paperSize="17" scale="70" orientation="landscape" verticalDpi="0" r:id="rId1"/>
  <tableParts count="1">
    <tablePart r:id="rId2"/>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P56"/>
  <sheetViews>
    <sheetView zoomScale="70" zoomScaleNormal="70" workbookViewId="0">
      <pane ySplit="11" topLeftCell="A27" activePane="bottomLeft" state="frozen"/>
      <selection pane="bottomLeft" activeCell="D33" sqref="D33"/>
    </sheetView>
  </sheetViews>
  <sheetFormatPr defaultColWidth="9.140625" defaultRowHeight="15.75" x14ac:dyDescent="0.25"/>
  <cols>
    <col min="1" max="1" width="65.5703125" style="145" customWidth="1"/>
    <col min="2" max="9" width="17.7109375" style="145" customWidth="1"/>
    <col min="10" max="10" width="9.140625" style="145"/>
    <col min="11" max="16384" width="9.140625" style="55"/>
  </cols>
  <sheetData>
    <row r="1" spans="1:16" s="94" customFormat="1" ht="18.75" customHeight="1" x14ac:dyDescent="0.35">
      <c r="A1" s="519" t="s">
        <v>291</v>
      </c>
    </row>
    <row r="2" spans="1:16" s="94" customFormat="1" ht="18.75" customHeight="1" x14ac:dyDescent="0.3">
      <c r="A2" s="518" t="s">
        <v>154</v>
      </c>
    </row>
    <row r="3" spans="1:16" ht="17.25" customHeight="1" thickBot="1" x14ac:dyDescent="0.3">
      <c r="A3" s="177"/>
      <c r="B3" s="120"/>
      <c r="C3" s="120"/>
      <c r="D3" s="120"/>
      <c r="E3" s="120"/>
      <c r="F3" s="120"/>
      <c r="G3" s="120"/>
      <c r="H3" s="120"/>
      <c r="I3" s="120"/>
      <c r="J3" s="120"/>
      <c r="K3" s="119"/>
      <c r="L3" s="119"/>
      <c r="M3" s="119"/>
      <c r="N3" s="119"/>
      <c r="O3" s="117"/>
    </row>
    <row r="4" spans="1:16" s="145" customFormat="1" ht="63.75" customHeight="1" thickTop="1" thickBot="1" x14ac:dyDescent="0.3">
      <c r="A4" s="644" t="s">
        <v>290</v>
      </c>
      <c r="B4" s="645"/>
      <c r="C4" s="645"/>
      <c r="D4" s="645"/>
      <c r="E4" s="645"/>
      <c r="F4" s="645"/>
      <c r="G4" s="645"/>
      <c r="H4" s="645"/>
      <c r="I4" s="646"/>
      <c r="J4" s="58"/>
      <c r="K4" s="58"/>
      <c r="L4" s="58"/>
      <c r="M4" s="58"/>
      <c r="N4" s="58"/>
      <c r="O4" s="133"/>
      <c r="P4" s="133"/>
    </row>
    <row r="5" spans="1:16" s="145" customFormat="1" ht="16.5" thickTop="1" x14ac:dyDescent="0.25">
      <c r="A5" s="57"/>
      <c r="B5" s="57"/>
      <c r="C5" s="57"/>
      <c r="D5" s="57"/>
      <c r="E5" s="57"/>
      <c r="F5" s="57"/>
      <c r="G5" s="57"/>
      <c r="H5" s="57"/>
      <c r="I5" s="57"/>
      <c r="J5" s="58"/>
      <c r="K5" s="58"/>
      <c r="L5" s="58"/>
      <c r="M5" s="58"/>
      <c r="N5" s="58"/>
      <c r="O5" s="133"/>
      <c r="P5" s="133"/>
    </row>
    <row r="6" spans="1:16" s="145" customFormat="1" ht="93.75" customHeight="1" x14ac:dyDescent="0.25">
      <c r="A6" s="647" t="s">
        <v>531</v>
      </c>
      <c r="B6" s="648"/>
      <c r="C6" s="648"/>
      <c r="D6" s="648"/>
      <c r="E6" s="648"/>
      <c r="F6" s="648"/>
      <c r="G6" s="648"/>
      <c r="H6" s="648"/>
      <c r="I6" s="649"/>
      <c r="J6" s="58"/>
      <c r="K6" s="58"/>
      <c r="L6" s="58"/>
      <c r="M6" s="58"/>
      <c r="N6" s="58"/>
      <c r="O6" s="133"/>
      <c r="P6" s="133"/>
    </row>
    <row r="7" spans="1:16" s="133" customFormat="1" x14ac:dyDescent="0.25"/>
    <row r="8" spans="1:16" x14ac:dyDescent="0.25">
      <c r="A8" s="642" t="s">
        <v>520</v>
      </c>
      <c r="B8" s="643"/>
      <c r="C8" s="643"/>
      <c r="D8" s="643"/>
      <c r="E8" s="643"/>
      <c r="F8" s="643"/>
      <c r="G8" s="643"/>
      <c r="H8" s="643"/>
      <c r="I8" s="643"/>
      <c r="J8" s="133"/>
      <c r="K8" s="136"/>
      <c r="L8" s="117"/>
      <c r="M8" s="117"/>
      <c r="N8" s="117"/>
      <c r="O8" s="117"/>
      <c r="P8" s="117"/>
    </row>
    <row r="9" spans="1:16" ht="85.5" customHeight="1" x14ac:dyDescent="0.25">
      <c r="A9" s="641" t="s">
        <v>289</v>
      </c>
      <c r="B9" s="641"/>
      <c r="C9" s="641"/>
      <c r="D9" s="641"/>
      <c r="E9" s="641"/>
      <c r="F9" s="641"/>
      <c r="G9" s="641"/>
      <c r="H9" s="641"/>
      <c r="I9" s="641"/>
      <c r="J9" s="133"/>
      <c r="K9" s="117"/>
      <c r="L9" s="117"/>
      <c r="M9" s="117"/>
      <c r="N9" s="117"/>
      <c r="O9" s="117"/>
      <c r="P9" s="117"/>
    </row>
    <row r="10" spans="1:16" s="133" customFormat="1" ht="13.9" customHeight="1" x14ac:dyDescent="0.25">
      <c r="A10" s="178"/>
      <c r="B10" s="179"/>
      <c r="C10" s="180"/>
      <c r="D10" s="180"/>
      <c r="E10" s="180"/>
      <c r="F10" s="180"/>
      <c r="G10" s="180"/>
      <c r="H10" s="180"/>
      <c r="I10" s="180"/>
    </row>
    <row r="11" spans="1:16" x14ac:dyDescent="0.25">
      <c r="A11" s="181" t="s">
        <v>521</v>
      </c>
      <c r="B11" s="182" t="s">
        <v>522</v>
      </c>
      <c r="C11" s="182" t="s">
        <v>523</v>
      </c>
      <c r="D11" s="182" t="s">
        <v>524</v>
      </c>
      <c r="E11" s="182" t="s">
        <v>525</v>
      </c>
      <c r="F11" s="182" t="s">
        <v>526</v>
      </c>
      <c r="G11" s="182" t="s">
        <v>527</v>
      </c>
      <c r="H11" s="182" t="s">
        <v>528</v>
      </c>
      <c r="I11" s="182" t="s">
        <v>529</v>
      </c>
    </row>
    <row r="12" spans="1:16" ht="39.75" customHeight="1" x14ac:dyDescent="0.25">
      <c r="A12" s="493" t="str">
        <f>'Bidding - Inputs 2'!$A12</f>
        <v>Estimated savings resulting from non-responsive low bids due to math or clerical errors.</v>
      </c>
      <c r="B12" s="494">
        <f>SUM(C12:I12)</f>
        <v>10000000</v>
      </c>
      <c r="C12" s="494">
        <f>'Bidding - Inputs 2'!$C$12*'Bidding - Inputs 2'!D12</f>
        <v>0</v>
      </c>
      <c r="D12" s="494">
        <f>'Bidding - Inputs 2'!$C$12*'Bidding - Inputs 2'!E12</f>
        <v>500000</v>
      </c>
      <c r="E12" s="494">
        <f>'Bidding - Inputs 2'!$C$12*'Bidding - Inputs 2'!F12</f>
        <v>1500000</v>
      </c>
      <c r="F12" s="494">
        <f>'Bidding - Inputs 2'!$C$12*'Bidding - Inputs 2'!G12</f>
        <v>2000000</v>
      </c>
      <c r="G12" s="494">
        <f>'Bidding - Inputs 2'!$C$12*'Bidding - Inputs 2'!H12</f>
        <v>2000000</v>
      </c>
      <c r="H12" s="494">
        <f>'Bidding - Inputs 2'!$C$12*'Bidding - Inputs 2'!I12</f>
        <v>2000000</v>
      </c>
      <c r="I12" s="494">
        <f>'Bidding - Inputs 2'!$C$12*'Bidding - Inputs 2'!J12</f>
        <v>2000000</v>
      </c>
    </row>
    <row r="13" spans="1:16" x14ac:dyDescent="0.25">
      <c r="A13" s="493" t="str">
        <f>'Bidding - Inputs 2'!$A13</f>
        <v>Estimated savings resulting from improved workforce utilization</v>
      </c>
      <c r="B13" s="494">
        <f>SUM(C13:I13)</f>
        <v>1170000</v>
      </c>
      <c r="C13" s="494">
        <f>'Bidding - Inputs 2'!$C$13*'Bidding - Inputs 2'!D13</f>
        <v>0</v>
      </c>
      <c r="D13" s="494">
        <f>'Bidding - Inputs 2'!$C$13*'Bidding - Inputs 2'!E13</f>
        <v>58500</v>
      </c>
      <c r="E13" s="494">
        <f>'Bidding - Inputs 2'!$C$13*'Bidding - Inputs 2'!F13</f>
        <v>175500</v>
      </c>
      <c r="F13" s="494">
        <f>'Bidding - Inputs 2'!$C$13*'Bidding - Inputs 2'!G13</f>
        <v>234000</v>
      </c>
      <c r="G13" s="494">
        <f>'Bidding - Inputs 2'!$C$13*'Bidding - Inputs 2'!H13</f>
        <v>234000</v>
      </c>
      <c r="H13" s="494">
        <f>'Bidding - Inputs 2'!$C$13*'Bidding - Inputs 2'!I13</f>
        <v>234000</v>
      </c>
      <c r="I13" s="494">
        <f>'Bidding - Inputs 2'!$C$13*'Bidding - Inputs 2'!J13</f>
        <v>234000</v>
      </c>
    </row>
    <row r="14" spans="1:16" x14ac:dyDescent="0.25">
      <c r="A14" s="498" t="s">
        <v>26</v>
      </c>
      <c r="B14" s="494">
        <f t="shared" ref="B14:I14" si="0">SUM(B12:B13)</f>
        <v>11170000</v>
      </c>
      <c r="C14" s="494">
        <f t="shared" si="0"/>
        <v>0</v>
      </c>
      <c r="D14" s="494">
        <f t="shared" si="0"/>
        <v>558500</v>
      </c>
      <c r="E14" s="494">
        <f t="shared" si="0"/>
        <v>1675500</v>
      </c>
      <c r="F14" s="494">
        <f t="shared" si="0"/>
        <v>2234000</v>
      </c>
      <c r="G14" s="494">
        <f t="shared" si="0"/>
        <v>2234000</v>
      </c>
      <c r="H14" s="494">
        <f t="shared" si="0"/>
        <v>2234000</v>
      </c>
      <c r="I14" s="494">
        <f t="shared" si="0"/>
        <v>2234000</v>
      </c>
    </row>
    <row r="15" spans="1:16" s="117" customFormat="1" x14ac:dyDescent="0.25">
      <c r="A15" s="371"/>
      <c r="B15" s="372"/>
      <c r="C15" s="372"/>
      <c r="D15" s="372"/>
      <c r="E15" s="372"/>
      <c r="F15" s="372"/>
      <c r="G15" s="372"/>
      <c r="H15" s="372"/>
      <c r="I15" s="373"/>
      <c r="J15" s="133"/>
    </row>
    <row r="16" spans="1:16" x14ac:dyDescent="0.25">
      <c r="A16" s="181" t="s">
        <v>530</v>
      </c>
      <c r="B16" s="182" t="s">
        <v>522</v>
      </c>
      <c r="C16" s="182" t="s">
        <v>523</v>
      </c>
      <c r="D16" s="182" t="s">
        <v>524</v>
      </c>
      <c r="E16" s="182" t="s">
        <v>525</v>
      </c>
      <c r="F16" s="182" t="s">
        <v>526</v>
      </c>
      <c r="G16" s="182" t="s">
        <v>527</v>
      </c>
      <c r="H16" s="182" t="s">
        <v>528</v>
      </c>
      <c r="I16" s="182" t="s">
        <v>529</v>
      </c>
    </row>
    <row r="17" spans="1:9" x14ac:dyDescent="0.25">
      <c r="A17" s="495" t="str">
        <f>'Bidding - Inputs 4'!$A12</f>
        <v>Pre-implementation planning consultant</v>
      </c>
      <c r="B17" s="494">
        <f>SUM(C17:I17)</f>
        <v>135000</v>
      </c>
      <c r="C17" s="494">
        <f>'Bidding - Inputs 4'!D12</f>
        <v>135000</v>
      </c>
      <c r="D17" s="494">
        <f>'Bidding - Inputs 4'!E12</f>
        <v>0</v>
      </c>
      <c r="E17" s="494">
        <f>'Bidding - Inputs 4'!F12</f>
        <v>0</v>
      </c>
      <c r="F17" s="494">
        <f>'Bidding - Inputs 4'!G12</f>
        <v>0</v>
      </c>
      <c r="G17" s="494">
        <f>'Bidding - Inputs 4'!H12</f>
        <v>0</v>
      </c>
      <c r="H17" s="494">
        <f>'Bidding - Inputs 4'!I12</f>
        <v>0</v>
      </c>
      <c r="I17" s="494">
        <f>'Bidding - Inputs 4'!J12</f>
        <v>0</v>
      </c>
    </row>
    <row r="18" spans="1:9" x14ac:dyDescent="0.25">
      <c r="A18" s="495" t="str">
        <f>'Bidding - Inputs 4'!$A13</f>
        <v>COTS software licenses</v>
      </c>
      <c r="B18" s="494">
        <f t="shared" ref="B18:B27" si="1">SUM(C18:I18)</f>
        <v>140000</v>
      </c>
      <c r="C18" s="494">
        <f>'Bidding - Inputs 4'!D13</f>
        <v>20000</v>
      </c>
      <c r="D18" s="494">
        <f>'Bidding - Inputs 4'!E13</f>
        <v>20000</v>
      </c>
      <c r="E18" s="494">
        <f>'Bidding - Inputs 4'!F13</f>
        <v>20000</v>
      </c>
      <c r="F18" s="494">
        <f>'Bidding - Inputs 4'!G13</f>
        <v>20000</v>
      </c>
      <c r="G18" s="494">
        <f>'Bidding - Inputs 4'!H13</f>
        <v>20000</v>
      </c>
      <c r="H18" s="494">
        <f>'Bidding - Inputs 4'!I13</f>
        <v>20000</v>
      </c>
      <c r="I18" s="494">
        <f>'Bidding - Inputs 4'!J13</f>
        <v>20000</v>
      </c>
    </row>
    <row r="19" spans="1:9" x14ac:dyDescent="0.25">
      <c r="A19" s="495" t="str">
        <f>'Bidding - Inputs 4'!$A14</f>
        <v>COTS software maintenance</v>
      </c>
      <c r="B19" s="494">
        <f t="shared" si="1"/>
        <v>0</v>
      </c>
      <c r="C19" s="494">
        <f>'Bidding - Inputs 4'!D14</f>
        <v>0</v>
      </c>
      <c r="D19" s="494">
        <f>'Bidding - Inputs 4'!E14</f>
        <v>0</v>
      </c>
      <c r="E19" s="494">
        <f>'Bidding - Inputs 4'!F14</f>
        <v>0</v>
      </c>
      <c r="F19" s="494">
        <f>'Bidding - Inputs 4'!G14</f>
        <v>0</v>
      </c>
      <c r="G19" s="494">
        <f>'Bidding - Inputs 4'!H14</f>
        <v>0</v>
      </c>
      <c r="H19" s="494">
        <f>'Bidding - Inputs 4'!I14</f>
        <v>0</v>
      </c>
      <c r="I19" s="494">
        <f>'Bidding - Inputs 4'!J14</f>
        <v>0</v>
      </c>
    </row>
    <row r="20" spans="1:9" x14ac:dyDescent="0.25">
      <c r="A20" s="495" t="str">
        <f>'Bidding - Inputs 4'!$A15</f>
        <v>Systems integration services</v>
      </c>
      <c r="B20" s="494">
        <f t="shared" si="1"/>
        <v>500000</v>
      </c>
      <c r="C20" s="494">
        <f>'Bidding - Inputs 4'!D15</f>
        <v>400000</v>
      </c>
      <c r="D20" s="494">
        <f>'Bidding - Inputs 4'!E15</f>
        <v>100000</v>
      </c>
      <c r="E20" s="494" t="str">
        <f>'Bidding - Inputs 4'!F15</f>
        <v>N/A</v>
      </c>
      <c r="F20" s="494" t="str">
        <f>'Bidding - Inputs 4'!G15</f>
        <v>N/A</v>
      </c>
      <c r="G20" s="494" t="str">
        <f>'Bidding - Inputs 4'!H15</f>
        <v>N/A</v>
      </c>
      <c r="H20" s="494" t="str">
        <f>'Bidding - Inputs 4'!I15</f>
        <v>N/A</v>
      </c>
      <c r="I20" s="494" t="str">
        <f>'Bidding - Inputs 4'!J15</f>
        <v>N/A</v>
      </c>
    </row>
    <row r="21" spans="1:9" x14ac:dyDescent="0.25">
      <c r="A21" s="495" t="str">
        <f>'Bidding - Inputs 4'!$A16</f>
        <v xml:space="preserve">Managed services support </v>
      </c>
      <c r="B21" s="494">
        <f t="shared" si="1"/>
        <v>0</v>
      </c>
      <c r="C21" s="494">
        <f>'Bidding - Inputs 4'!D16</f>
        <v>0</v>
      </c>
      <c r="D21" s="494">
        <f>'Bidding - Inputs 4'!E16</f>
        <v>0</v>
      </c>
      <c r="E21" s="494">
        <f>'Bidding - Inputs 4'!F16</f>
        <v>0</v>
      </c>
      <c r="F21" s="494">
        <f>'Bidding - Inputs 4'!G16</f>
        <v>0</v>
      </c>
      <c r="G21" s="494">
        <f>'Bidding - Inputs 4'!H16</f>
        <v>0</v>
      </c>
      <c r="H21" s="494">
        <f>'Bidding - Inputs 4'!I16</f>
        <v>0</v>
      </c>
      <c r="I21" s="494">
        <f>'Bidding - Inputs 4'!J16</f>
        <v>0</v>
      </c>
    </row>
    <row r="22" spans="1:9" x14ac:dyDescent="0.25">
      <c r="A22" s="495" t="str">
        <f>'Bidding - Inputs 4'!$A17</f>
        <v>Hardware and other technical infrastructure</v>
      </c>
      <c r="B22" s="494">
        <f t="shared" si="1"/>
        <v>0</v>
      </c>
      <c r="C22" s="494">
        <f>'Bidding - Inputs 4'!D17</f>
        <v>0</v>
      </c>
      <c r="D22" s="494">
        <f>'Bidding - Inputs 4'!E17</f>
        <v>0</v>
      </c>
      <c r="E22" s="494">
        <f>'Bidding - Inputs 4'!F17</f>
        <v>0</v>
      </c>
      <c r="F22" s="494">
        <f>'Bidding - Inputs 4'!G17</f>
        <v>0</v>
      </c>
      <c r="G22" s="494">
        <f>'Bidding - Inputs 4'!H17</f>
        <v>0</v>
      </c>
      <c r="H22" s="494">
        <f>'Bidding - Inputs 4'!I17</f>
        <v>0</v>
      </c>
      <c r="I22" s="494">
        <f>'Bidding - Inputs 4'!J17</f>
        <v>0</v>
      </c>
    </row>
    <row r="23" spans="1:9" x14ac:dyDescent="0.25">
      <c r="A23" s="495" t="str">
        <f>'Bidding - Inputs 4'!$A18</f>
        <v>Hardware and infrastructure maintenance</v>
      </c>
      <c r="B23" s="494">
        <f t="shared" si="1"/>
        <v>0</v>
      </c>
      <c r="C23" s="494">
        <f>'Bidding - Inputs 4'!D18</f>
        <v>0</v>
      </c>
      <c r="D23" s="494">
        <f>'Bidding - Inputs 4'!E18</f>
        <v>0</v>
      </c>
      <c r="E23" s="494">
        <f>'Bidding - Inputs 4'!F18</f>
        <v>0</v>
      </c>
      <c r="F23" s="494">
        <f>'Bidding - Inputs 4'!G18</f>
        <v>0</v>
      </c>
      <c r="G23" s="494">
        <f>'Bidding - Inputs 4'!H18</f>
        <v>0</v>
      </c>
      <c r="H23" s="494">
        <f>'Bidding - Inputs 4'!I18</f>
        <v>0</v>
      </c>
      <c r="I23" s="494">
        <f>'Bidding - Inputs 4'!J18</f>
        <v>0</v>
      </c>
    </row>
    <row r="24" spans="1:9" x14ac:dyDescent="0.25">
      <c r="A24" s="495" t="str">
        <f>'Bidding - Inputs 4'!$A19</f>
        <v>Hardware replacement/updates</v>
      </c>
      <c r="B24" s="494">
        <f t="shared" si="1"/>
        <v>0</v>
      </c>
      <c r="C24" s="494">
        <f>'Bidding - Inputs 4'!D19</f>
        <v>0</v>
      </c>
      <c r="D24" s="494">
        <f>'Bidding - Inputs 4'!E19</f>
        <v>0</v>
      </c>
      <c r="E24" s="494">
        <f>'Bidding - Inputs 4'!F19</f>
        <v>0</v>
      </c>
      <c r="F24" s="494">
        <f>'Bidding - Inputs 4'!G19</f>
        <v>0</v>
      </c>
      <c r="G24" s="494">
        <f>'Bidding - Inputs 4'!H19</f>
        <v>0</v>
      </c>
      <c r="H24" s="494">
        <f>'Bidding - Inputs 4'!I19</f>
        <v>0</v>
      </c>
      <c r="I24" s="494">
        <f>'Bidding - Inputs 4'!J19</f>
        <v>0</v>
      </c>
    </row>
    <row r="25" spans="1:9" x14ac:dyDescent="0.25">
      <c r="A25" s="495" t="str">
        <f>'Bidding - Inputs 4'!$A20</f>
        <v>Agency staff cost during implementation</v>
      </c>
      <c r="B25" s="494">
        <f t="shared" si="1"/>
        <v>315000</v>
      </c>
      <c r="C25" s="494">
        <f>'Bidding - Inputs 4'!D20</f>
        <v>283500</v>
      </c>
      <c r="D25" s="494">
        <f>'Bidding - Inputs 4'!E20</f>
        <v>31500</v>
      </c>
      <c r="E25" s="494">
        <f>'Bidding - Inputs 4'!F20</f>
        <v>0</v>
      </c>
      <c r="F25" s="494">
        <f>'Bidding - Inputs 4'!G20</f>
        <v>0</v>
      </c>
      <c r="G25" s="494">
        <f>'Bidding - Inputs 4'!H20</f>
        <v>0</v>
      </c>
      <c r="H25" s="494">
        <f>'Bidding - Inputs 4'!I20</f>
        <v>0</v>
      </c>
      <c r="I25" s="494">
        <f>'Bidding - Inputs 4'!J20</f>
        <v>0</v>
      </c>
    </row>
    <row r="26" spans="1:9" x14ac:dyDescent="0.25">
      <c r="A26" s="495" t="str">
        <f>'Bidding - Inputs 4'!$A21</f>
        <v>Agency staff cost to support system ongoing</v>
      </c>
      <c r="B26" s="494">
        <f t="shared" si="1"/>
        <v>162000</v>
      </c>
      <c r="C26" s="494">
        <f>'Bidding - Inputs 4'!D21</f>
        <v>0</v>
      </c>
      <c r="D26" s="494">
        <f>'Bidding - Inputs 4'!E21</f>
        <v>27000</v>
      </c>
      <c r="E26" s="494">
        <f>'Bidding - Inputs 4'!F21</f>
        <v>27000</v>
      </c>
      <c r="F26" s="494">
        <f>'Bidding - Inputs 4'!G21</f>
        <v>27000</v>
      </c>
      <c r="G26" s="494">
        <f>'Bidding - Inputs 4'!H21</f>
        <v>27000</v>
      </c>
      <c r="H26" s="494">
        <f>'Bidding - Inputs 4'!I21</f>
        <v>27000</v>
      </c>
      <c r="I26" s="494">
        <f>'Bidding - Inputs 4'!J21</f>
        <v>27000</v>
      </c>
    </row>
    <row r="27" spans="1:9" x14ac:dyDescent="0.25">
      <c r="A27" s="495" t="str">
        <f>'Bidding - Inputs 4'!$A22</f>
        <v>Systems integration services for upgrade</v>
      </c>
      <c r="B27" s="494">
        <f t="shared" si="1"/>
        <v>150000</v>
      </c>
      <c r="C27" s="494">
        <f>'Bidding - Inputs 4'!D22</f>
        <v>0</v>
      </c>
      <c r="D27" s="494">
        <f>'Bidding - Inputs 4'!E22</f>
        <v>0</v>
      </c>
      <c r="E27" s="494">
        <f>'Bidding - Inputs 4'!F22</f>
        <v>0</v>
      </c>
      <c r="F27" s="494">
        <f>'Bidding - Inputs 4'!G22</f>
        <v>75000</v>
      </c>
      <c r="G27" s="494">
        <f>'Bidding - Inputs 4'!H22</f>
        <v>0</v>
      </c>
      <c r="H27" s="494">
        <f>'Bidding - Inputs 4'!I22</f>
        <v>0</v>
      </c>
      <c r="I27" s="494">
        <f>'Bidding - Inputs 4'!J22</f>
        <v>75000</v>
      </c>
    </row>
    <row r="28" spans="1:9" x14ac:dyDescent="0.25">
      <c r="A28" s="496" t="s">
        <v>27</v>
      </c>
      <c r="B28" s="494">
        <f t="shared" ref="B28:I28" si="2">SUM(B17:B27)</f>
        <v>1402000</v>
      </c>
      <c r="C28" s="494">
        <f t="shared" si="2"/>
        <v>838500</v>
      </c>
      <c r="D28" s="494">
        <f t="shared" si="2"/>
        <v>178500</v>
      </c>
      <c r="E28" s="494">
        <f t="shared" si="2"/>
        <v>47000</v>
      </c>
      <c r="F28" s="494">
        <f t="shared" si="2"/>
        <v>122000</v>
      </c>
      <c r="G28" s="494">
        <f t="shared" si="2"/>
        <v>47000</v>
      </c>
      <c r="H28" s="494">
        <f t="shared" si="2"/>
        <v>47000</v>
      </c>
      <c r="I28" s="494">
        <f t="shared" si="2"/>
        <v>122000</v>
      </c>
    </row>
    <row r="29" spans="1:9" x14ac:dyDescent="0.25">
      <c r="A29" s="497" t="s">
        <v>205</v>
      </c>
      <c r="B29" s="494">
        <f>B14-B28</f>
        <v>9768000</v>
      </c>
      <c r="C29" s="494">
        <f>C14- C28</f>
        <v>-838500</v>
      </c>
      <c r="D29" s="494">
        <f>D14- D28</f>
        <v>380000</v>
      </c>
      <c r="E29" s="494">
        <f>E14 - E28</f>
        <v>1628500</v>
      </c>
      <c r="F29" s="494">
        <f>F14 - F28</f>
        <v>2112000</v>
      </c>
      <c r="G29" s="494">
        <f>G14- G28</f>
        <v>2187000</v>
      </c>
      <c r="H29" s="494">
        <f>H14 - H28</f>
        <v>2187000</v>
      </c>
      <c r="I29" s="494">
        <f>I14 - I28</f>
        <v>2112000</v>
      </c>
    </row>
    <row r="30" spans="1:9" s="145" customFormat="1" x14ac:dyDescent="0.25">
      <c r="A30" s="492" t="s">
        <v>206</v>
      </c>
      <c r="B30" s="531" t="s">
        <v>306</v>
      </c>
      <c r="C30" s="494">
        <f>C29</f>
        <v>-838500</v>
      </c>
      <c r="D30" s="494">
        <f>D29+C29</f>
        <v>-458500</v>
      </c>
      <c r="E30" s="494">
        <f>E29+D30</f>
        <v>1170000</v>
      </c>
      <c r="F30" s="494">
        <f>F29+E30</f>
        <v>3282000</v>
      </c>
      <c r="G30" s="494">
        <f>G29+F30</f>
        <v>5469000</v>
      </c>
      <c r="H30" s="494">
        <f>H29+G30</f>
        <v>7656000</v>
      </c>
      <c r="I30" s="494">
        <f>I29+H30</f>
        <v>9768000</v>
      </c>
    </row>
    <row r="31" spans="1:9" s="133" customFormat="1" x14ac:dyDescent="0.25">
      <c r="A31" s="271"/>
      <c r="B31" s="272"/>
      <c r="C31" s="272"/>
      <c r="D31" s="272"/>
      <c r="E31" s="272"/>
      <c r="F31" s="272"/>
      <c r="G31" s="272"/>
      <c r="H31" s="272"/>
      <c r="I31" s="272"/>
    </row>
    <row r="32" spans="1:9" s="145" customFormat="1" x14ac:dyDescent="0.25">
      <c r="A32" s="304" t="s">
        <v>42</v>
      </c>
      <c r="B32" s="426" t="str">
        <f>INDEX($C$44:$I$44,MATCH(TRUE, INDEX($C$30:$I$30 &gt;0,),0))</f>
        <v>Year 3</v>
      </c>
      <c r="C32" s="133"/>
      <c r="D32" s="273"/>
      <c r="E32" s="215"/>
      <c r="F32" s="215"/>
      <c r="G32" s="215"/>
      <c r="H32" s="215"/>
      <c r="I32" s="215"/>
    </row>
    <row r="33" spans="1:9" s="145" customFormat="1" x14ac:dyDescent="0.25">
      <c r="A33" s="305" t="s">
        <v>440</v>
      </c>
      <c r="B33" s="427" t="s">
        <v>101</v>
      </c>
      <c r="C33" s="133"/>
      <c r="D33" s="306"/>
      <c r="E33" s="215"/>
      <c r="F33" s="215"/>
      <c r="G33" s="215"/>
      <c r="H33" s="215"/>
      <c r="I33" s="215"/>
    </row>
    <row r="34" spans="1:9" s="145" customFormat="1" ht="17.25" customHeight="1" x14ac:dyDescent="0.25">
      <c r="A34" s="305" t="s">
        <v>439</v>
      </c>
      <c r="B34" s="427">
        <f>VLOOKUP(B33,$B$50:$C$56,2,FALSE)</f>
        <v>6.9671897289586306</v>
      </c>
      <c r="C34" s="133"/>
      <c r="D34" s="133"/>
      <c r="E34" s="133"/>
      <c r="F34" s="133"/>
      <c r="G34" s="133"/>
      <c r="H34" s="133"/>
      <c r="I34" s="133"/>
    </row>
    <row r="35" spans="1:9" s="145" customFormat="1" x14ac:dyDescent="0.25">
      <c r="A35" s="305" t="s">
        <v>75</v>
      </c>
      <c r="B35" s="428">
        <f>VLOOKUP(B33,$B$50:$E$56,4,FALSE)/VLOOKUP(B33,$B$50:$E$56,3,FALSE)</f>
        <v>200285.71428571429</v>
      </c>
      <c r="C35" s="133"/>
      <c r="D35" s="133"/>
      <c r="E35" s="133"/>
      <c r="F35" s="133"/>
      <c r="G35" s="133"/>
      <c r="H35" s="133"/>
      <c r="I35" s="133"/>
    </row>
    <row r="36" spans="1:9" s="145" customFormat="1" x14ac:dyDescent="0.25">
      <c r="A36" s="303" t="s">
        <v>207</v>
      </c>
      <c r="B36" s="428">
        <f>VLOOKUP(B33,$B$50:$F$56,5,FALSE)/VLOOKUP(B33,$B$50:$F$56,3,FALSE)</f>
        <v>1395428.5714285714</v>
      </c>
      <c r="C36" s="133"/>
      <c r="D36" s="133"/>
      <c r="E36" s="133"/>
      <c r="F36" s="133"/>
      <c r="G36" s="133"/>
      <c r="H36" s="133"/>
      <c r="I36" s="133"/>
    </row>
    <row r="37" spans="1:9" x14ac:dyDescent="0.25">
      <c r="A37" s="133"/>
      <c r="B37" s="133"/>
      <c r="C37" s="133"/>
      <c r="D37" s="133"/>
      <c r="E37" s="133"/>
      <c r="F37" s="133"/>
      <c r="G37" s="133"/>
      <c r="H37" s="133"/>
      <c r="I37" s="133"/>
    </row>
    <row r="43" spans="1:9" ht="14.45" hidden="1" customHeight="1" thickBot="1" x14ac:dyDescent="0.3">
      <c r="A43" s="221" t="s">
        <v>155</v>
      </c>
      <c r="B43" s="222"/>
      <c r="C43" s="222"/>
      <c r="D43" s="222"/>
      <c r="E43" s="222"/>
      <c r="F43" s="222"/>
      <c r="G43" s="222"/>
      <c r="H43" s="222"/>
      <c r="I43" s="223"/>
    </row>
    <row r="44" spans="1:9" ht="14.45" hidden="1" customHeight="1" x14ac:dyDescent="0.25">
      <c r="A44" s="595"/>
      <c r="B44" s="586"/>
      <c r="C44" s="602" t="s">
        <v>43</v>
      </c>
      <c r="D44" s="602" t="s">
        <v>44</v>
      </c>
      <c r="E44" s="602" t="s">
        <v>45</v>
      </c>
      <c r="F44" s="602" t="s">
        <v>46</v>
      </c>
      <c r="G44" s="602" t="s">
        <v>47</v>
      </c>
      <c r="H44" s="602" t="s">
        <v>48</v>
      </c>
      <c r="I44" s="603" t="s">
        <v>49</v>
      </c>
    </row>
    <row r="45" spans="1:9" hidden="1" x14ac:dyDescent="0.25">
      <c r="A45" s="596" t="s">
        <v>102</v>
      </c>
      <c r="B45" s="597"/>
      <c r="C45" s="598">
        <f>C28</f>
        <v>838500</v>
      </c>
      <c r="D45" s="598">
        <f t="shared" ref="D45:I45" si="3">D$28+C45</f>
        <v>1017000</v>
      </c>
      <c r="E45" s="598">
        <f t="shared" si="3"/>
        <v>1064000</v>
      </c>
      <c r="F45" s="598">
        <f t="shared" si="3"/>
        <v>1186000</v>
      </c>
      <c r="G45" s="598">
        <f t="shared" si="3"/>
        <v>1233000</v>
      </c>
      <c r="H45" s="598">
        <f t="shared" si="3"/>
        <v>1280000</v>
      </c>
      <c r="I45" s="599">
        <f t="shared" si="3"/>
        <v>1402000</v>
      </c>
    </row>
    <row r="46" spans="1:9" hidden="1" x14ac:dyDescent="0.25">
      <c r="A46" s="596" t="s">
        <v>162</v>
      </c>
      <c r="B46" s="597"/>
      <c r="C46" s="600">
        <f t="shared" ref="C46:I46" si="4">C30/C45</f>
        <v>-1</v>
      </c>
      <c r="D46" s="600">
        <f t="shared" si="4"/>
        <v>-0.45083579154375614</v>
      </c>
      <c r="E46" s="600">
        <f t="shared" si="4"/>
        <v>1.0996240601503759</v>
      </c>
      <c r="F46" s="600">
        <f t="shared" si="4"/>
        <v>2.7672849915682969</v>
      </c>
      <c r="G46" s="600">
        <f t="shared" si="4"/>
        <v>4.4355231143552309</v>
      </c>
      <c r="H46" s="600">
        <f t="shared" si="4"/>
        <v>5.9812500000000002</v>
      </c>
      <c r="I46" s="601">
        <f t="shared" si="4"/>
        <v>6.9671897289586306</v>
      </c>
    </row>
    <row r="47" spans="1:9" hidden="1" x14ac:dyDescent="0.25">
      <c r="A47" s="591"/>
      <c r="B47" s="588"/>
      <c r="C47" s="588"/>
      <c r="D47" s="588"/>
      <c r="E47" s="588"/>
      <c r="F47" s="588"/>
      <c r="G47" s="588"/>
      <c r="H47" s="588"/>
      <c r="I47" s="592"/>
    </row>
    <row r="48" spans="1:9" hidden="1" x14ac:dyDescent="0.25">
      <c r="A48" s="591"/>
      <c r="B48" s="588"/>
      <c r="C48" s="588"/>
      <c r="D48" s="588"/>
      <c r="E48" s="588"/>
      <c r="F48" s="588"/>
      <c r="G48" s="588"/>
      <c r="H48" s="588"/>
      <c r="I48" s="592"/>
    </row>
    <row r="49" spans="1:9" hidden="1" x14ac:dyDescent="0.25">
      <c r="A49" s="591"/>
      <c r="B49" s="183" t="s">
        <v>163</v>
      </c>
      <c r="C49" s="183" t="s">
        <v>162</v>
      </c>
      <c r="D49" s="183" t="s">
        <v>163</v>
      </c>
      <c r="E49" s="183" t="s">
        <v>102</v>
      </c>
      <c r="F49" s="183" t="s">
        <v>206</v>
      </c>
      <c r="G49" s="588"/>
      <c r="H49" s="588"/>
      <c r="I49" s="592"/>
    </row>
    <row r="50" spans="1:9" hidden="1" x14ac:dyDescent="0.25">
      <c r="A50" s="591"/>
      <c r="B50" s="186" t="s">
        <v>95</v>
      </c>
      <c r="C50" s="185">
        <f>C46</f>
        <v>-1</v>
      </c>
      <c r="D50" s="183">
        <v>1</v>
      </c>
      <c r="E50" s="184">
        <f>C45</f>
        <v>838500</v>
      </c>
      <c r="F50" s="184">
        <f>C30</f>
        <v>-838500</v>
      </c>
      <c r="G50" s="588"/>
      <c r="H50" s="588"/>
      <c r="I50" s="592"/>
    </row>
    <row r="51" spans="1:9" hidden="1" x14ac:dyDescent="0.25">
      <c r="A51" s="591"/>
      <c r="B51" s="186" t="s">
        <v>96</v>
      </c>
      <c r="C51" s="185">
        <f>D46</f>
        <v>-0.45083579154375614</v>
      </c>
      <c r="D51" s="183">
        <v>2</v>
      </c>
      <c r="E51" s="184">
        <f>D45</f>
        <v>1017000</v>
      </c>
      <c r="F51" s="184">
        <f>D30</f>
        <v>-458500</v>
      </c>
      <c r="G51" s="588"/>
      <c r="H51" s="588"/>
      <c r="I51" s="592"/>
    </row>
    <row r="52" spans="1:9" hidden="1" x14ac:dyDescent="0.25">
      <c r="A52" s="591"/>
      <c r="B52" s="186" t="s">
        <v>97</v>
      </c>
      <c r="C52" s="187">
        <f>E46</f>
        <v>1.0996240601503759</v>
      </c>
      <c r="D52" s="183">
        <v>3</v>
      </c>
      <c r="E52" s="184">
        <f>E45</f>
        <v>1064000</v>
      </c>
      <c r="F52" s="184">
        <f>E30</f>
        <v>1170000</v>
      </c>
      <c r="G52" s="588"/>
      <c r="H52" s="588"/>
      <c r="I52" s="592"/>
    </row>
    <row r="53" spans="1:9" hidden="1" x14ac:dyDescent="0.25">
      <c r="A53" s="591"/>
      <c r="B53" s="186" t="s">
        <v>98</v>
      </c>
      <c r="C53" s="187">
        <f>F46</f>
        <v>2.7672849915682969</v>
      </c>
      <c r="D53" s="183">
        <v>4</v>
      </c>
      <c r="E53" s="184">
        <f>F45</f>
        <v>1186000</v>
      </c>
      <c r="F53" s="184">
        <f>F30</f>
        <v>3282000</v>
      </c>
      <c r="G53" s="588"/>
      <c r="H53" s="588"/>
      <c r="I53" s="592"/>
    </row>
    <row r="54" spans="1:9" hidden="1" x14ac:dyDescent="0.25">
      <c r="A54" s="591"/>
      <c r="B54" s="186" t="s">
        <v>99</v>
      </c>
      <c r="C54" s="187">
        <f>G46</f>
        <v>4.4355231143552309</v>
      </c>
      <c r="D54" s="183">
        <v>5</v>
      </c>
      <c r="E54" s="184">
        <f>G45</f>
        <v>1233000</v>
      </c>
      <c r="F54" s="184">
        <f>G30</f>
        <v>5469000</v>
      </c>
      <c r="G54" s="588"/>
      <c r="H54" s="588"/>
      <c r="I54" s="592"/>
    </row>
    <row r="55" spans="1:9" hidden="1" x14ac:dyDescent="0.25">
      <c r="A55" s="591"/>
      <c r="B55" s="186" t="s">
        <v>100</v>
      </c>
      <c r="C55" s="187">
        <f>H46</f>
        <v>5.9812500000000002</v>
      </c>
      <c r="D55" s="183">
        <v>6</v>
      </c>
      <c r="E55" s="184">
        <f>H45</f>
        <v>1280000</v>
      </c>
      <c r="F55" s="184">
        <f>H30</f>
        <v>7656000</v>
      </c>
      <c r="G55" s="588"/>
      <c r="H55" s="588"/>
      <c r="I55" s="592"/>
    </row>
    <row r="56" spans="1:9" ht="16.5" hidden="1" thickBot="1" x14ac:dyDescent="0.3">
      <c r="A56" s="593"/>
      <c r="B56" s="232" t="s">
        <v>101</v>
      </c>
      <c r="C56" s="233">
        <f>I46</f>
        <v>6.9671897289586306</v>
      </c>
      <c r="D56" s="234">
        <v>7</v>
      </c>
      <c r="E56" s="235">
        <f>I45</f>
        <v>1402000</v>
      </c>
      <c r="F56" s="235">
        <f>I30</f>
        <v>9768000</v>
      </c>
      <c r="G56" s="589"/>
      <c r="H56" s="589"/>
      <c r="I56" s="594"/>
    </row>
  </sheetData>
  <sheetProtection insertRows="0" selectLockedCells="1"/>
  <mergeCells count="4">
    <mergeCell ref="A9:I9"/>
    <mergeCell ref="A8:I8"/>
    <mergeCell ref="A4:I4"/>
    <mergeCell ref="A6:I6"/>
  </mergeCells>
  <dataValidations count="1">
    <dataValidation type="list" allowBlank="1" showInputMessage="1" showErrorMessage="1" sqref="B33">
      <formula1>$B$51:$B$56</formula1>
    </dataValidation>
  </dataValidations>
  <pageMargins left="0.7" right="0.7" top="0.75" bottom="0.75" header="0.3" footer="0.3"/>
  <pageSetup paperSize="17" scale="95" fitToWidth="0" fitToHeight="0" orientation="landscape" r:id="rId1"/>
  <tableParts count="2">
    <tablePart r:id="rId2"/>
    <tablePart r:id="rId3"/>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X35"/>
  <sheetViews>
    <sheetView zoomScale="70" zoomScaleNormal="70" workbookViewId="0">
      <selection activeCell="E29" sqref="E29"/>
    </sheetView>
  </sheetViews>
  <sheetFormatPr defaultColWidth="9.140625" defaultRowHeight="15" x14ac:dyDescent="0.25"/>
  <cols>
    <col min="1" max="1" width="178.5703125" style="24" customWidth="1"/>
    <col min="2" max="15" width="9.140625" style="24"/>
    <col min="16" max="16" width="14.7109375" style="24" customWidth="1"/>
    <col min="17" max="16384" width="9.140625" style="24"/>
  </cols>
  <sheetData>
    <row r="1" spans="1:24" s="25" customFormat="1" ht="21" x14ac:dyDescent="0.35">
      <c r="A1" s="539" t="s">
        <v>300</v>
      </c>
      <c r="B1" s="66"/>
      <c r="C1" s="66"/>
      <c r="D1" s="66"/>
      <c r="E1" s="66"/>
      <c r="F1" s="66"/>
      <c r="G1" s="66"/>
      <c r="H1" s="66"/>
      <c r="I1" s="66"/>
      <c r="J1" s="66"/>
      <c r="K1" s="66"/>
      <c r="L1" s="66"/>
      <c r="M1" s="66"/>
      <c r="N1" s="66"/>
      <c r="O1" s="66"/>
      <c r="P1" s="66"/>
      <c r="Q1" s="67"/>
      <c r="T1" s="68"/>
      <c r="U1" s="69"/>
      <c r="V1" s="69"/>
      <c r="W1" s="69"/>
      <c r="X1" s="69"/>
    </row>
    <row r="2" spans="1:24" s="25" customFormat="1" ht="21" x14ac:dyDescent="0.3">
      <c r="A2" s="540" t="s">
        <v>305</v>
      </c>
      <c r="B2" s="66"/>
      <c r="C2" s="66"/>
      <c r="D2" s="66"/>
      <c r="E2" s="66"/>
      <c r="F2" s="66"/>
      <c r="G2" s="66"/>
      <c r="H2" s="66"/>
      <c r="I2" s="66"/>
      <c r="J2" s="66"/>
      <c r="K2" s="66"/>
      <c r="L2" s="66"/>
      <c r="M2" s="66"/>
      <c r="N2" s="66"/>
      <c r="O2" s="66"/>
      <c r="P2" s="66"/>
      <c r="Q2" s="67"/>
      <c r="T2" s="68"/>
      <c r="U2" s="69"/>
      <c r="V2" s="69"/>
      <c r="W2" s="69"/>
      <c r="X2" s="69"/>
    </row>
    <row r="3" spans="1:24" ht="19.5" thickBot="1" x14ac:dyDescent="0.35">
      <c r="A3" s="52"/>
      <c r="B3" s="52"/>
      <c r="C3" s="52"/>
      <c r="D3" s="52"/>
      <c r="E3" s="52"/>
      <c r="F3" s="52"/>
      <c r="G3" s="52"/>
      <c r="H3" s="52"/>
      <c r="I3" s="52"/>
      <c r="J3" s="52"/>
      <c r="K3" s="52"/>
      <c r="L3" s="52"/>
      <c r="M3" s="52"/>
      <c r="N3" s="52"/>
      <c r="O3" s="52"/>
      <c r="P3" s="52"/>
    </row>
    <row r="4" spans="1:24" s="25" customFormat="1" ht="78" customHeight="1" thickTop="1" thickBot="1" x14ac:dyDescent="0.3">
      <c r="A4" s="84" t="s">
        <v>248</v>
      </c>
      <c r="B4" s="62"/>
      <c r="C4" s="62"/>
      <c r="D4" s="62"/>
      <c r="E4" s="62"/>
      <c r="F4" s="62"/>
      <c r="G4" s="62"/>
      <c r="H4" s="62"/>
      <c r="I4" s="62"/>
      <c r="J4" s="62"/>
      <c r="K4" s="62"/>
      <c r="L4" s="62"/>
      <c r="M4" s="62"/>
      <c r="N4" s="62"/>
      <c r="O4" s="62"/>
      <c r="P4" s="62"/>
    </row>
    <row r="5" spans="1:24" ht="19.5" thickTop="1" x14ac:dyDescent="0.3">
      <c r="A5" s="28"/>
    </row>
    <row r="6" spans="1:24" ht="18.75" x14ac:dyDescent="0.3">
      <c r="A6" s="545" t="s">
        <v>475</v>
      </c>
      <c r="B6" s="33"/>
      <c r="C6" s="33"/>
      <c r="D6" s="33"/>
      <c r="E6" s="33"/>
      <c r="F6" s="33"/>
      <c r="G6" s="33"/>
      <c r="H6" s="33"/>
      <c r="I6" s="33"/>
      <c r="J6" s="33"/>
      <c r="K6" s="33"/>
      <c r="L6" s="33"/>
      <c r="M6" s="33"/>
      <c r="N6" s="33"/>
      <c r="O6" s="27"/>
    </row>
    <row r="7" spans="1:24" x14ac:dyDescent="0.25">
      <c r="A7" s="34"/>
      <c r="B7" s="35"/>
      <c r="C7" s="35"/>
      <c r="D7" s="35"/>
      <c r="E7" s="35"/>
      <c r="F7" s="35"/>
      <c r="G7" s="35"/>
      <c r="H7" s="35"/>
      <c r="I7" s="35"/>
      <c r="J7" s="35"/>
      <c r="K7" s="35"/>
      <c r="L7" s="35"/>
      <c r="M7" s="35"/>
      <c r="N7" s="35"/>
      <c r="O7" s="27"/>
    </row>
    <row r="8" spans="1:24" x14ac:dyDescent="0.25">
      <c r="A8" s="36"/>
      <c r="B8" s="37"/>
      <c r="C8" s="37"/>
      <c r="D8" s="37"/>
      <c r="E8" s="37"/>
      <c r="F8" s="38"/>
      <c r="G8" s="38"/>
      <c r="H8" s="38"/>
      <c r="I8" s="38"/>
      <c r="J8" s="38"/>
      <c r="K8" s="38"/>
      <c r="L8" s="38"/>
      <c r="M8" s="38"/>
      <c r="N8" s="38"/>
      <c r="O8" s="27"/>
    </row>
    <row r="9" spans="1:24" x14ac:dyDescent="0.25">
      <c r="A9" s="39"/>
      <c r="B9" s="40"/>
      <c r="C9" s="38"/>
      <c r="D9" s="38"/>
      <c r="E9" s="38"/>
      <c r="F9" s="38"/>
      <c r="G9" s="38"/>
      <c r="H9" s="38"/>
      <c r="I9" s="38"/>
      <c r="J9" s="38"/>
      <c r="K9" s="38"/>
      <c r="L9" s="38"/>
      <c r="M9" s="38"/>
      <c r="N9" s="38"/>
      <c r="O9" s="27"/>
    </row>
    <row r="10" spans="1:24" x14ac:dyDescent="0.25">
      <c r="A10" s="39"/>
      <c r="B10" s="40"/>
      <c r="C10" s="38"/>
      <c r="D10" s="38"/>
      <c r="E10" s="38"/>
      <c r="F10" s="38"/>
      <c r="G10" s="38"/>
      <c r="H10" s="38"/>
      <c r="I10" s="38"/>
      <c r="J10" s="38"/>
      <c r="K10" s="38"/>
      <c r="L10" s="38"/>
      <c r="M10" s="38"/>
      <c r="N10" s="38"/>
      <c r="O10" s="27"/>
    </row>
    <row r="11" spans="1:24" x14ac:dyDescent="0.25">
      <c r="A11" s="39"/>
      <c r="B11" s="40"/>
      <c r="C11" s="40"/>
      <c r="D11" s="38"/>
      <c r="E11" s="38"/>
      <c r="F11" s="38"/>
      <c r="G11" s="38"/>
      <c r="H11" s="38"/>
      <c r="I11" s="38"/>
      <c r="J11" s="38"/>
      <c r="K11" s="38"/>
      <c r="L11" s="38"/>
      <c r="M11" s="38"/>
      <c r="N11" s="38"/>
      <c r="O11" s="27"/>
    </row>
    <row r="12" spans="1:24" x14ac:dyDescent="0.25">
      <c r="A12" s="39"/>
      <c r="B12" s="38"/>
      <c r="C12" s="38"/>
      <c r="D12" s="40"/>
      <c r="E12" s="38"/>
      <c r="F12" s="38"/>
      <c r="G12" s="38"/>
      <c r="H12" s="38"/>
      <c r="I12" s="38"/>
      <c r="J12" s="38"/>
      <c r="K12" s="38"/>
      <c r="L12" s="38"/>
      <c r="M12" s="38"/>
      <c r="N12" s="38"/>
      <c r="O12" s="27"/>
    </row>
    <row r="13" spans="1:24" x14ac:dyDescent="0.25">
      <c r="A13" s="39"/>
      <c r="B13" s="38"/>
      <c r="C13" s="38"/>
      <c r="D13" s="38"/>
      <c r="E13" s="40"/>
      <c r="F13" s="38"/>
      <c r="G13" s="38"/>
      <c r="H13" s="38"/>
      <c r="I13" s="38"/>
      <c r="J13" s="38"/>
      <c r="K13" s="38"/>
      <c r="L13" s="38"/>
      <c r="M13" s="38"/>
      <c r="N13" s="38"/>
      <c r="O13" s="27"/>
    </row>
    <row r="14" spans="1:24" x14ac:dyDescent="0.25">
      <c r="A14" s="36"/>
      <c r="B14" s="38"/>
      <c r="C14" s="38"/>
      <c r="D14" s="38"/>
      <c r="E14" s="38"/>
      <c r="F14" s="37"/>
      <c r="G14" s="37"/>
      <c r="H14" s="37"/>
      <c r="I14" s="37"/>
      <c r="J14" s="37"/>
      <c r="K14" s="37"/>
      <c r="L14" s="37"/>
      <c r="M14" s="37"/>
      <c r="N14" s="37"/>
      <c r="O14" s="27"/>
    </row>
    <row r="15" spans="1:24" x14ac:dyDescent="0.25">
      <c r="A15" s="39"/>
      <c r="B15" s="38"/>
      <c r="C15" s="38"/>
      <c r="D15" s="38"/>
      <c r="E15" s="38"/>
      <c r="F15" s="40"/>
      <c r="G15" s="38"/>
      <c r="H15" s="38"/>
      <c r="I15" s="38"/>
      <c r="J15" s="38"/>
      <c r="K15" s="38"/>
      <c r="L15" s="38"/>
      <c r="M15" s="38"/>
      <c r="N15" s="38"/>
      <c r="O15" s="27"/>
    </row>
    <row r="16" spans="1:24" x14ac:dyDescent="0.25">
      <c r="A16" s="39"/>
      <c r="B16" s="38"/>
      <c r="C16" s="38"/>
      <c r="D16" s="38"/>
      <c r="E16" s="38"/>
      <c r="F16" s="38"/>
      <c r="G16" s="40"/>
      <c r="H16" s="38"/>
      <c r="I16" s="38"/>
      <c r="J16" s="38"/>
      <c r="K16" s="38"/>
      <c r="L16" s="38"/>
      <c r="M16" s="38"/>
      <c r="N16" s="38"/>
      <c r="O16" s="27"/>
    </row>
    <row r="17" spans="1:15" x14ac:dyDescent="0.25">
      <c r="A17" s="39"/>
      <c r="B17" s="38"/>
      <c r="C17" s="38"/>
      <c r="D17" s="38"/>
      <c r="E17" s="38"/>
      <c r="F17" s="38"/>
      <c r="G17" s="40"/>
      <c r="H17" s="38"/>
      <c r="I17" s="38"/>
      <c r="J17" s="38"/>
      <c r="K17" s="38"/>
      <c r="L17" s="38"/>
      <c r="M17" s="38"/>
      <c r="N17" s="38"/>
      <c r="O17" s="27"/>
    </row>
    <row r="18" spans="1:15" x14ac:dyDescent="0.25">
      <c r="A18" s="39"/>
      <c r="B18" s="38"/>
      <c r="C18" s="38"/>
      <c r="D18" s="38"/>
      <c r="E18" s="38"/>
      <c r="F18" s="38"/>
      <c r="G18" s="38"/>
      <c r="H18" s="40"/>
      <c r="I18" s="38"/>
      <c r="J18" s="38"/>
      <c r="K18" s="38"/>
      <c r="L18" s="38"/>
      <c r="M18" s="38"/>
      <c r="N18" s="38"/>
      <c r="O18" s="27"/>
    </row>
    <row r="19" spans="1:15" x14ac:dyDescent="0.25">
      <c r="A19" s="39"/>
      <c r="B19" s="38"/>
      <c r="C19" s="38"/>
      <c r="D19" s="38"/>
      <c r="E19" s="38"/>
      <c r="F19" s="38"/>
      <c r="G19" s="38"/>
      <c r="H19" s="40"/>
      <c r="I19" s="38"/>
      <c r="J19" s="38"/>
      <c r="K19" s="38"/>
      <c r="L19" s="38"/>
      <c r="M19" s="38"/>
      <c r="N19" s="38"/>
      <c r="O19" s="27"/>
    </row>
    <row r="20" spans="1:15" x14ac:dyDescent="0.25">
      <c r="A20" s="39"/>
      <c r="B20" s="38"/>
      <c r="C20" s="38"/>
      <c r="D20" s="38"/>
      <c r="E20" s="38"/>
      <c r="F20" s="38"/>
      <c r="G20" s="38"/>
      <c r="H20" s="38"/>
      <c r="I20" s="40"/>
      <c r="J20" s="38"/>
      <c r="K20" s="38"/>
      <c r="L20" s="38"/>
      <c r="M20" s="38"/>
      <c r="N20" s="38"/>
      <c r="O20" s="27"/>
    </row>
    <row r="21" spans="1:15" x14ac:dyDescent="0.25">
      <c r="A21" s="39"/>
      <c r="B21" s="38"/>
      <c r="C21" s="38"/>
      <c r="D21" s="38"/>
      <c r="E21" s="38"/>
      <c r="F21" s="38"/>
      <c r="G21" s="38"/>
      <c r="H21" s="40"/>
      <c r="I21" s="40"/>
      <c r="J21" s="40"/>
      <c r="K21" s="38"/>
      <c r="L21" s="38"/>
      <c r="M21" s="38"/>
      <c r="N21" s="38"/>
      <c r="O21" s="27"/>
    </row>
    <row r="22" spans="1:15" x14ac:dyDescent="0.25">
      <c r="A22" s="39"/>
      <c r="B22" s="38"/>
      <c r="C22" s="38"/>
      <c r="D22" s="38"/>
      <c r="E22" s="38"/>
      <c r="F22" s="38"/>
      <c r="G22" s="38"/>
      <c r="H22" s="38"/>
      <c r="I22" s="38"/>
      <c r="J22" s="38"/>
      <c r="K22" s="40"/>
      <c r="L22" s="38"/>
      <c r="M22" s="38"/>
      <c r="N22" s="38"/>
      <c r="O22" s="27"/>
    </row>
    <row r="23" spans="1:15" x14ac:dyDescent="0.25">
      <c r="A23" s="39"/>
      <c r="B23" s="38"/>
      <c r="C23" s="38"/>
      <c r="D23" s="38"/>
      <c r="E23" s="38"/>
      <c r="F23" s="38"/>
      <c r="G23" s="38"/>
      <c r="H23" s="38"/>
      <c r="I23" s="38"/>
      <c r="J23" s="38"/>
      <c r="K23" s="40"/>
      <c r="L23" s="40"/>
      <c r="M23" s="40"/>
      <c r="N23" s="38"/>
      <c r="O23" s="27"/>
    </row>
    <row r="24" spans="1:15" x14ac:dyDescent="0.25">
      <c r="A24" s="39"/>
      <c r="B24" s="38"/>
      <c r="C24" s="38"/>
      <c r="D24" s="38"/>
      <c r="E24" s="38"/>
      <c r="F24" s="38"/>
      <c r="G24" s="38"/>
      <c r="H24" s="38"/>
      <c r="I24" s="38"/>
      <c r="J24" s="38"/>
      <c r="K24" s="40"/>
      <c r="L24" s="40"/>
      <c r="M24" s="40"/>
      <c r="N24" s="40"/>
      <c r="O24" s="27"/>
    </row>
    <row r="25" spans="1:15" x14ac:dyDescent="0.25">
      <c r="A25" s="36"/>
      <c r="B25" s="41"/>
      <c r="C25" s="41"/>
      <c r="D25" s="41"/>
      <c r="E25" s="41"/>
      <c r="F25" s="41"/>
      <c r="G25" s="41"/>
      <c r="H25" s="41"/>
      <c r="I25" s="41"/>
      <c r="J25" s="41"/>
      <c r="K25" s="41"/>
      <c r="L25" s="41"/>
      <c r="M25" s="41"/>
      <c r="N25" s="41"/>
      <c r="O25" s="27"/>
    </row>
    <row r="26" spans="1:15" x14ac:dyDescent="0.25">
      <c r="A26" s="36"/>
      <c r="B26" s="41"/>
      <c r="C26" s="41"/>
      <c r="D26" s="41"/>
      <c r="E26" s="41"/>
      <c r="F26" s="41"/>
      <c r="G26" s="41"/>
      <c r="H26" s="41"/>
      <c r="I26" s="41"/>
      <c r="J26" s="41"/>
      <c r="K26" s="41"/>
      <c r="L26" s="41"/>
      <c r="M26" s="41"/>
      <c r="N26" s="41"/>
      <c r="O26" s="27"/>
    </row>
    <row r="27" spans="1:15" x14ac:dyDescent="0.25">
      <c r="A27" s="22"/>
      <c r="B27" s="22"/>
      <c r="C27" s="22"/>
      <c r="D27" s="22"/>
      <c r="E27" s="22"/>
      <c r="F27" s="22"/>
      <c r="G27" s="22"/>
      <c r="H27" s="22"/>
      <c r="I27" s="22"/>
      <c r="J27" s="22"/>
      <c r="K27" s="22"/>
      <c r="L27" s="22"/>
      <c r="M27" s="22"/>
      <c r="N27" s="22"/>
      <c r="O27" s="27"/>
    </row>
    <row r="28" spans="1:15" x14ac:dyDescent="0.25">
      <c r="A28" s="42"/>
      <c r="B28" s="22"/>
      <c r="C28" s="22"/>
      <c r="D28" s="22"/>
      <c r="E28" s="22"/>
      <c r="F28" s="22"/>
      <c r="G28" s="22"/>
      <c r="H28" s="22"/>
      <c r="I28" s="22"/>
      <c r="J28" s="22"/>
      <c r="K28" s="22"/>
      <c r="L28" s="22"/>
      <c r="M28" s="22"/>
      <c r="N28" s="22"/>
      <c r="O28" s="27"/>
    </row>
    <row r="29" spans="1:15" x14ac:dyDescent="0.25">
      <c r="A29" s="27"/>
      <c r="B29" s="32"/>
      <c r="C29" s="22"/>
      <c r="D29" s="22"/>
      <c r="E29" s="22"/>
      <c r="F29" s="22"/>
      <c r="G29" s="22"/>
      <c r="H29" s="22"/>
      <c r="I29" s="22"/>
      <c r="J29" s="22"/>
      <c r="K29" s="22"/>
      <c r="L29" s="22"/>
      <c r="M29" s="22"/>
      <c r="N29" s="22"/>
      <c r="O29" s="27"/>
    </row>
    <row r="30" spans="1:15" x14ac:dyDescent="0.25">
      <c r="A30" s="27"/>
      <c r="B30" s="32"/>
      <c r="C30" s="22"/>
      <c r="D30" s="22"/>
      <c r="E30" s="22"/>
      <c r="F30" s="22"/>
      <c r="G30" s="22"/>
      <c r="H30" s="22"/>
      <c r="I30" s="22"/>
      <c r="J30" s="22"/>
      <c r="K30" s="22"/>
      <c r="L30" s="22"/>
      <c r="M30" s="22"/>
      <c r="N30" s="22"/>
      <c r="O30" s="27"/>
    </row>
    <row r="31" spans="1:15" x14ac:dyDescent="0.25">
      <c r="A31" s="43"/>
      <c r="B31" s="32"/>
      <c r="C31" s="22"/>
      <c r="D31" s="22"/>
      <c r="E31" s="22"/>
      <c r="F31" s="22"/>
      <c r="G31" s="22"/>
      <c r="H31" s="22"/>
      <c r="I31" s="22"/>
      <c r="J31" s="22"/>
      <c r="K31" s="22"/>
      <c r="L31" s="22"/>
      <c r="M31" s="22"/>
      <c r="N31" s="22"/>
      <c r="O31" s="27"/>
    </row>
    <row r="32" spans="1:15" x14ac:dyDescent="0.25">
      <c r="A32" s="27"/>
      <c r="B32" s="32"/>
      <c r="C32" s="22"/>
      <c r="D32" s="22"/>
      <c r="E32" s="22"/>
      <c r="F32" s="22"/>
      <c r="G32" s="22"/>
      <c r="H32" s="22"/>
      <c r="I32" s="22"/>
      <c r="J32" s="22"/>
      <c r="K32" s="22"/>
      <c r="L32" s="22"/>
      <c r="M32" s="22"/>
      <c r="N32" s="22"/>
      <c r="O32" s="27"/>
    </row>
    <row r="33" spans="1:15" x14ac:dyDescent="0.25">
      <c r="A33" s="27"/>
      <c r="B33" s="27"/>
      <c r="C33" s="27"/>
      <c r="D33" s="27"/>
      <c r="E33" s="27"/>
      <c r="F33" s="27"/>
      <c r="G33" s="27"/>
      <c r="H33" s="27"/>
      <c r="I33" s="27"/>
      <c r="J33" s="27"/>
      <c r="K33" s="27"/>
      <c r="L33" s="27"/>
      <c r="M33" s="27"/>
      <c r="N33" s="27"/>
      <c r="O33" s="27"/>
    </row>
    <row r="34" spans="1:15" x14ac:dyDescent="0.25">
      <c r="A34" s="27"/>
      <c r="B34" s="27"/>
      <c r="C34" s="27"/>
      <c r="D34" s="27"/>
      <c r="E34" s="27"/>
      <c r="F34" s="27"/>
      <c r="G34" s="27"/>
      <c r="H34" s="27"/>
      <c r="I34" s="27"/>
      <c r="J34" s="27"/>
      <c r="K34" s="27"/>
      <c r="L34" s="27"/>
      <c r="M34" s="27"/>
      <c r="N34" s="27"/>
      <c r="O34" s="27"/>
    </row>
    <row r="35" spans="1:15" x14ac:dyDescent="0.25">
      <c r="A35" s="27"/>
      <c r="B35" s="27"/>
      <c r="C35" s="27"/>
      <c r="D35" s="27"/>
      <c r="E35" s="27"/>
      <c r="F35" s="27"/>
      <c r="G35" s="27"/>
      <c r="H35" s="27"/>
      <c r="I35" s="27"/>
      <c r="J35" s="27"/>
      <c r="K35" s="27"/>
      <c r="L35" s="27"/>
      <c r="M35" s="27"/>
      <c r="N35" s="27"/>
      <c r="O35" s="27"/>
    </row>
  </sheetData>
  <sheetProtection formatCells="0" selectLockedCells="1"/>
  <pageMargins left="0.7" right="0.7" top="0.75" bottom="0.75" header="0.3" footer="0.3"/>
  <pageSetup paperSize="17" orientation="landscape" verticalDpi="0"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1:H55"/>
  <sheetViews>
    <sheetView zoomScale="70" zoomScaleNormal="70" workbookViewId="0">
      <pane ySplit="11" topLeftCell="A12" activePane="bottomLeft" state="frozen"/>
      <selection pane="bottomLeft" activeCell="D11" sqref="D11"/>
    </sheetView>
  </sheetViews>
  <sheetFormatPr defaultColWidth="9.140625" defaultRowHeight="15.75" x14ac:dyDescent="0.25"/>
  <cols>
    <col min="1" max="1" width="44" style="80" customWidth="1"/>
    <col min="2" max="2" width="14.42578125" style="80" customWidth="1"/>
    <col min="3" max="3" width="77" style="80" customWidth="1"/>
    <col min="4" max="4" width="47.85546875" style="80" customWidth="1"/>
    <col min="5" max="5" width="16.28515625" style="192" bestFit="1" customWidth="1"/>
    <col min="6" max="6" width="11.5703125" style="192" bestFit="1" customWidth="1"/>
    <col min="7" max="16384" width="9.140625" style="192"/>
  </cols>
  <sheetData>
    <row r="1" spans="1:8" ht="21" x14ac:dyDescent="0.25">
      <c r="A1" s="533" t="s">
        <v>291</v>
      </c>
      <c r="B1" s="191"/>
      <c r="C1" s="191"/>
      <c r="D1" s="191"/>
      <c r="E1" s="74"/>
      <c r="F1" s="74"/>
      <c r="G1" s="74"/>
      <c r="H1" s="74"/>
    </row>
    <row r="2" spans="1:8" ht="18.75" x14ac:dyDescent="0.25">
      <c r="A2" s="532" t="s">
        <v>148</v>
      </c>
      <c r="B2" s="191"/>
      <c r="C2" s="191"/>
      <c r="D2" s="191"/>
      <c r="E2" s="74"/>
      <c r="F2" s="74"/>
      <c r="G2" s="74"/>
      <c r="H2" s="74"/>
    </row>
    <row r="3" spans="1:8" ht="16.5" thickBot="1" x14ac:dyDescent="0.3">
      <c r="A3" s="193"/>
      <c r="B3" s="193"/>
      <c r="C3" s="193"/>
      <c r="D3" s="193"/>
      <c r="E3" s="74"/>
      <c r="F3" s="74"/>
      <c r="G3" s="74"/>
      <c r="H3" s="74"/>
    </row>
    <row r="4" spans="1:8" ht="97.9" customHeight="1" thickTop="1" thickBot="1" x14ac:dyDescent="0.3">
      <c r="A4" s="650" t="s">
        <v>327</v>
      </c>
      <c r="B4" s="651"/>
      <c r="C4" s="651"/>
      <c r="D4" s="652"/>
      <c r="E4" s="74"/>
      <c r="F4" s="74"/>
      <c r="G4" s="74"/>
      <c r="H4" s="74"/>
    </row>
    <row r="5" spans="1:8" ht="16.5" thickTop="1" x14ac:dyDescent="0.25">
      <c r="A5" s="194"/>
      <c r="B5" s="194"/>
      <c r="C5" s="194"/>
      <c r="D5" s="194"/>
      <c r="E5" s="194"/>
      <c r="F5" s="194"/>
      <c r="G5" s="194"/>
      <c r="H5" s="194"/>
    </row>
    <row r="6" spans="1:8" ht="18.75" x14ac:dyDescent="0.3">
      <c r="A6" s="528" t="s">
        <v>272</v>
      </c>
      <c r="B6" s="87"/>
      <c r="C6" s="87"/>
      <c r="D6" s="87"/>
      <c r="E6" s="80"/>
      <c r="F6" s="80"/>
      <c r="G6" s="80"/>
      <c r="H6" s="80"/>
    </row>
    <row r="7" spans="1:8" ht="98.25" customHeight="1" x14ac:dyDescent="0.25">
      <c r="A7" s="653" t="s">
        <v>493</v>
      </c>
      <c r="B7" s="654"/>
      <c r="C7" s="654"/>
      <c r="D7" s="655"/>
      <c r="E7" s="80"/>
      <c r="F7" s="80"/>
      <c r="G7" s="80"/>
      <c r="H7" s="80"/>
    </row>
    <row r="8" spans="1:8" x14ac:dyDescent="0.25">
      <c r="A8" s="195"/>
      <c r="B8" s="195"/>
      <c r="C8" s="195"/>
      <c r="D8" s="195"/>
      <c r="E8" s="80"/>
      <c r="F8" s="80"/>
      <c r="G8" s="80"/>
      <c r="H8" s="80"/>
    </row>
    <row r="9" spans="1:8" s="80" customFormat="1" ht="16.5" customHeight="1" x14ac:dyDescent="0.25">
      <c r="A9" s="547" t="s">
        <v>449</v>
      </c>
      <c r="B9" s="213"/>
      <c r="C9" s="147"/>
      <c r="D9" s="213"/>
      <c r="E9" s="198"/>
    </row>
    <row r="10" spans="1:8" ht="16.5" customHeight="1" x14ac:dyDescent="0.25">
      <c r="A10" s="211"/>
      <c r="B10" s="212"/>
      <c r="C10" s="207"/>
      <c r="D10" s="212"/>
      <c r="E10" s="198"/>
      <c r="F10" s="80"/>
      <c r="G10" s="80"/>
      <c r="H10" s="80"/>
    </row>
    <row r="11" spans="1:8" s="216" customFormat="1" ht="16.5" customHeight="1" x14ac:dyDescent="0.25">
      <c r="A11" s="355" t="s">
        <v>313</v>
      </c>
      <c r="B11" s="335" t="s">
        <v>271</v>
      </c>
      <c r="C11" s="356" t="s">
        <v>293</v>
      </c>
      <c r="D11" s="356" t="s">
        <v>310</v>
      </c>
      <c r="E11" s="168"/>
      <c r="F11" s="215"/>
      <c r="G11" s="215"/>
      <c r="H11" s="215"/>
    </row>
    <row r="12" spans="1:8" ht="32.450000000000003" customHeight="1" x14ac:dyDescent="0.25">
      <c r="A12" s="568" t="s">
        <v>109</v>
      </c>
      <c r="B12" s="569">
        <v>300</v>
      </c>
      <c r="C12" s="451" t="s">
        <v>270</v>
      </c>
      <c r="D12" s="491" t="s">
        <v>306</v>
      </c>
      <c r="E12" s="196"/>
      <c r="F12" s="80"/>
      <c r="G12" s="80"/>
      <c r="H12" s="80"/>
    </row>
    <row r="13" spans="1:8" ht="34.9" customHeight="1" x14ac:dyDescent="0.25">
      <c r="A13" s="568" t="s">
        <v>146</v>
      </c>
      <c r="B13" s="570">
        <v>65</v>
      </c>
      <c r="C13" s="491" t="s">
        <v>328</v>
      </c>
      <c r="D13" s="491" t="s">
        <v>306</v>
      </c>
      <c r="E13" s="80"/>
      <c r="F13" s="197"/>
      <c r="G13" s="80"/>
      <c r="H13" s="80"/>
    </row>
    <row r="14" spans="1:8" ht="45" customHeight="1" x14ac:dyDescent="0.25">
      <c r="A14" s="571" t="s">
        <v>160</v>
      </c>
      <c r="B14" s="572">
        <v>16</v>
      </c>
      <c r="C14" s="491" t="s">
        <v>329</v>
      </c>
      <c r="D14" s="491" t="s">
        <v>306</v>
      </c>
      <c r="E14" s="80"/>
      <c r="F14" s="80"/>
      <c r="G14" s="80"/>
      <c r="H14" s="80"/>
    </row>
    <row r="15" spans="1:8" ht="46.15" customHeight="1" x14ac:dyDescent="0.25">
      <c r="A15" s="573" t="s">
        <v>107</v>
      </c>
      <c r="B15" s="569">
        <v>8</v>
      </c>
      <c r="C15" s="491" t="s">
        <v>330</v>
      </c>
      <c r="D15" s="491" t="s">
        <v>306</v>
      </c>
      <c r="E15" s="80"/>
      <c r="F15" s="80"/>
      <c r="G15" s="80"/>
      <c r="H15" s="80"/>
    </row>
    <row r="16" spans="1:8" ht="46.15" customHeight="1" x14ac:dyDescent="0.25">
      <c r="A16" s="573" t="s">
        <v>159</v>
      </c>
      <c r="B16" s="569">
        <v>250</v>
      </c>
      <c r="C16" s="491" t="s">
        <v>331</v>
      </c>
      <c r="D16" s="491" t="s">
        <v>306</v>
      </c>
      <c r="E16" s="80"/>
      <c r="F16" s="80"/>
      <c r="G16" s="80"/>
      <c r="H16" s="80"/>
    </row>
    <row r="17" spans="1:8" ht="63" x14ac:dyDescent="0.25">
      <c r="A17" s="571" t="s">
        <v>157</v>
      </c>
      <c r="B17" s="574">
        <v>120</v>
      </c>
      <c r="C17" s="491" t="s">
        <v>332</v>
      </c>
      <c r="D17" s="451" t="s">
        <v>306</v>
      </c>
      <c r="E17" s="198"/>
      <c r="F17" s="198"/>
      <c r="G17" s="80"/>
      <c r="H17" s="80"/>
    </row>
    <row r="18" spans="1:8" ht="83.25" customHeight="1" x14ac:dyDescent="0.25">
      <c r="A18" s="571" t="s">
        <v>145</v>
      </c>
      <c r="B18" s="575">
        <v>1</v>
      </c>
      <c r="C18" s="491" t="s">
        <v>333</v>
      </c>
      <c r="D18" s="491" t="s">
        <v>485</v>
      </c>
      <c r="E18" s="198"/>
      <c r="F18" s="198"/>
      <c r="G18" s="80"/>
      <c r="H18" s="80"/>
    </row>
    <row r="19" spans="1:8" ht="68.25" customHeight="1" x14ac:dyDescent="0.25">
      <c r="A19" s="569" t="s">
        <v>158</v>
      </c>
      <c r="B19" s="569">
        <f>3*50</f>
        <v>150</v>
      </c>
      <c r="C19" s="491" t="s">
        <v>334</v>
      </c>
      <c r="D19" s="491" t="s">
        <v>438</v>
      </c>
      <c r="E19" s="198"/>
      <c r="F19" s="198"/>
      <c r="G19" s="80"/>
      <c r="H19" s="80"/>
    </row>
    <row r="20" spans="1:8" ht="48.75" customHeight="1" x14ac:dyDescent="0.25">
      <c r="A20" s="571" t="s">
        <v>114</v>
      </c>
      <c r="B20" s="575">
        <v>0.25</v>
      </c>
      <c r="C20" s="491" t="s">
        <v>333</v>
      </c>
      <c r="D20" s="491" t="s">
        <v>484</v>
      </c>
      <c r="E20" s="198"/>
      <c r="F20" s="198"/>
      <c r="G20" s="80"/>
      <c r="H20" s="80"/>
    </row>
    <row r="21" spans="1:8" x14ac:dyDescent="0.25">
      <c r="A21" s="199"/>
      <c r="B21" s="200"/>
      <c r="C21" s="200"/>
      <c r="D21" s="201"/>
      <c r="E21" s="80"/>
      <c r="F21" s="80"/>
      <c r="G21" s="80"/>
      <c r="H21" s="80"/>
    </row>
    <row r="28" spans="1:8" x14ac:dyDescent="0.25">
      <c r="A28" s="81"/>
      <c r="B28" s="203"/>
      <c r="C28" s="204"/>
    </row>
    <row r="30" spans="1:8" ht="45" customHeight="1" x14ac:dyDescent="0.25"/>
    <row r="34" spans="1:3" ht="27.6" customHeight="1" x14ac:dyDescent="0.25"/>
    <row r="35" spans="1:3" ht="33" customHeight="1" x14ac:dyDescent="0.25"/>
    <row r="40" spans="1:3" x14ac:dyDescent="0.25">
      <c r="A40" s="206"/>
      <c r="B40" s="206"/>
      <c r="C40" s="206"/>
    </row>
    <row r="55" spans="5:5" x14ac:dyDescent="0.25">
      <c r="E55" s="80"/>
    </row>
  </sheetData>
  <sheetProtection insertColumns="0" insertRows="0" selectLockedCells="1"/>
  <mergeCells count="2">
    <mergeCell ref="A4:D4"/>
    <mergeCell ref="A7:D7"/>
  </mergeCells>
  <pageMargins left="0.7" right="0.7" top="0.75" bottom="0.75" header="0.3" footer="0.3"/>
  <pageSetup paperSize="17" fitToWidth="0" fitToHeight="0" orientation="landscape" verticalDpi="1200" r:id="rId1"/>
  <tableParts count="1">
    <tablePart r:id="rId2"/>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1:Q14"/>
  <sheetViews>
    <sheetView zoomScale="70" zoomScaleNormal="70" workbookViewId="0">
      <pane ySplit="11" topLeftCell="A12" activePane="bottomLeft" state="frozen"/>
      <selection pane="bottomLeft"/>
    </sheetView>
  </sheetViews>
  <sheetFormatPr defaultRowHeight="15" x14ac:dyDescent="0.25"/>
  <cols>
    <col min="1" max="1" width="35" customWidth="1"/>
    <col min="2" max="2" width="45" customWidth="1"/>
    <col min="3" max="10" width="18" customWidth="1"/>
  </cols>
  <sheetData>
    <row r="1" spans="1:17" ht="21" x14ac:dyDescent="0.25">
      <c r="A1" s="533" t="s">
        <v>291</v>
      </c>
      <c r="B1" s="191"/>
      <c r="C1" s="191"/>
      <c r="D1" s="191"/>
      <c r="E1" s="191"/>
      <c r="F1" s="191"/>
      <c r="G1" s="191"/>
      <c r="H1" s="191"/>
      <c r="I1" s="191"/>
      <c r="J1" s="191"/>
    </row>
    <row r="2" spans="1:17" ht="18.75" x14ac:dyDescent="0.25">
      <c r="A2" s="532" t="s">
        <v>148</v>
      </c>
      <c r="B2" s="191"/>
      <c r="C2" s="191"/>
      <c r="D2" s="191"/>
      <c r="E2" s="191"/>
      <c r="F2" s="191"/>
      <c r="G2" s="191"/>
      <c r="H2" s="191"/>
      <c r="I2" s="191"/>
      <c r="J2" s="191"/>
    </row>
    <row r="3" spans="1:17" ht="16.5" thickBot="1" x14ac:dyDescent="0.3">
      <c r="A3" s="193"/>
      <c r="B3" s="193"/>
      <c r="C3" s="193"/>
      <c r="D3" s="193"/>
      <c r="E3" s="193"/>
      <c r="F3" s="193"/>
      <c r="G3" s="193"/>
      <c r="H3" s="193"/>
      <c r="I3" s="193"/>
      <c r="J3" s="193"/>
    </row>
    <row r="4" spans="1:17" ht="120" customHeight="1" thickTop="1" thickBot="1" x14ac:dyDescent="0.3">
      <c r="A4" s="656" t="s">
        <v>327</v>
      </c>
      <c r="B4" s="657"/>
      <c r="C4" s="657"/>
      <c r="D4" s="657"/>
      <c r="E4" s="657"/>
      <c r="F4" s="657"/>
      <c r="G4" s="657"/>
      <c r="H4" s="657"/>
      <c r="I4" s="657"/>
      <c r="J4" s="658"/>
    </row>
    <row r="5" spans="1:17" ht="16.5" thickTop="1" x14ac:dyDescent="0.25">
      <c r="A5" s="194"/>
      <c r="B5" s="194"/>
      <c r="C5" s="194"/>
      <c r="D5" s="194"/>
      <c r="E5" s="194"/>
      <c r="F5" s="194"/>
      <c r="G5" s="194"/>
      <c r="H5" s="194"/>
      <c r="I5" s="194"/>
      <c r="J5" s="194"/>
    </row>
    <row r="6" spans="1:17" ht="18.75" x14ac:dyDescent="0.3">
      <c r="A6" s="528" t="s">
        <v>272</v>
      </c>
      <c r="B6" s="310"/>
      <c r="C6" s="310"/>
      <c r="D6" s="310"/>
      <c r="E6" s="310"/>
      <c r="F6" s="659"/>
      <c r="G6" s="659"/>
      <c r="H6" s="659"/>
      <c r="I6" s="659"/>
      <c r="J6" s="659"/>
    </row>
    <row r="7" spans="1:17" ht="83.25" customHeight="1" x14ac:dyDescent="0.25">
      <c r="A7" s="653" t="s">
        <v>492</v>
      </c>
      <c r="B7" s="654"/>
      <c r="C7" s="654"/>
      <c r="D7" s="654"/>
      <c r="E7" s="654"/>
      <c r="F7" s="654"/>
      <c r="G7" s="654"/>
      <c r="H7" s="654"/>
      <c r="I7" s="654"/>
      <c r="J7" s="655"/>
    </row>
    <row r="9" spans="1:17" s="192" customFormat="1" ht="15.75" x14ac:dyDescent="0.25">
      <c r="A9" s="548" t="s">
        <v>480</v>
      </c>
      <c r="B9" s="147"/>
      <c r="C9" s="147"/>
      <c r="D9" s="147"/>
      <c r="E9" s="147"/>
      <c r="F9" s="147"/>
      <c r="G9" s="147"/>
      <c r="H9" s="147"/>
      <c r="I9" s="147"/>
      <c r="J9" s="147"/>
      <c r="K9" s="195"/>
      <c r="L9" s="195"/>
      <c r="M9" s="195"/>
      <c r="N9" s="195"/>
      <c r="O9" s="195"/>
      <c r="P9" s="195"/>
      <c r="Q9" s="195"/>
    </row>
    <row r="10" spans="1:17" s="192" customFormat="1" ht="15.75" x14ac:dyDescent="0.25">
      <c r="A10" s="214"/>
      <c r="B10" s="147"/>
      <c r="C10" s="147"/>
      <c r="D10" s="147"/>
      <c r="E10" s="147"/>
      <c r="F10" s="147"/>
      <c r="G10" s="147"/>
      <c r="H10" s="147"/>
      <c r="I10" s="147"/>
      <c r="J10" s="147"/>
      <c r="K10" s="195"/>
      <c r="L10" s="195"/>
      <c r="M10" s="195"/>
      <c r="N10" s="195"/>
      <c r="O10" s="195"/>
      <c r="P10" s="195"/>
      <c r="Q10" s="195"/>
    </row>
    <row r="11" spans="1:17" s="219" customFormat="1" ht="47.25" x14ac:dyDescent="0.25">
      <c r="A11" s="357" t="s">
        <v>311</v>
      </c>
      <c r="B11" s="357" t="s">
        <v>312</v>
      </c>
      <c r="C11" s="367" t="s">
        <v>264</v>
      </c>
      <c r="D11" s="354" t="s">
        <v>315</v>
      </c>
      <c r="E11" s="346" t="s">
        <v>316</v>
      </c>
      <c r="F11" s="346" t="s">
        <v>317</v>
      </c>
      <c r="G11" s="346" t="s">
        <v>318</v>
      </c>
      <c r="H11" s="346" t="s">
        <v>319</v>
      </c>
      <c r="I11" s="346" t="s">
        <v>320</v>
      </c>
      <c r="J11" s="347" t="s">
        <v>321</v>
      </c>
      <c r="K11" s="217"/>
      <c r="L11" s="218"/>
      <c r="M11" s="218"/>
      <c r="N11" s="218"/>
    </row>
    <row r="12" spans="1:17" s="192" customFormat="1" ht="78" customHeight="1" x14ac:dyDescent="0.25">
      <c r="A12" s="479" t="s">
        <v>88</v>
      </c>
      <c r="B12" s="484" t="s">
        <v>335</v>
      </c>
      <c r="C12" s="490">
        <f>'PS&amp;E - Inputs 1'!B13*'PS&amp;E - Inputs 1'!B14*'PS&amp;E - Inputs 1'!B16</f>
        <v>260000</v>
      </c>
      <c r="D12" s="488">
        <v>0</v>
      </c>
      <c r="E12" s="488">
        <v>0.25</v>
      </c>
      <c r="F12" s="488">
        <v>0.75</v>
      </c>
      <c r="G12" s="489">
        <v>1</v>
      </c>
      <c r="H12" s="488">
        <v>1</v>
      </c>
      <c r="I12" s="488">
        <v>1</v>
      </c>
      <c r="J12" s="488">
        <v>1</v>
      </c>
      <c r="K12" s="202"/>
      <c r="L12" s="202"/>
      <c r="M12" s="202"/>
      <c r="N12" s="202"/>
      <c r="O12" s="202"/>
    </row>
    <row r="13" spans="1:17" s="192" customFormat="1" ht="67.150000000000006" customHeight="1" x14ac:dyDescent="0.25">
      <c r="A13" s="479" t="s">
        <v>87</v>
      </c>
      <c r="B13" s="484" t="s">
        <v>336</v>
      </c>
      <c r="C13" s="490">
        <f>'PS&amp;E - Inputs 1'!B13*'PS&amp;E - Inputs 1'!B15*'PS&amp;E - Inputs 1'!B16</f>
        <v>130000</v>
      </c>
      <c r="D13" s="488">
        <v>0</v>
      </c>
      <c r="E13" s="488">
        <v>0.25</v>
      </c>
      <c r="F13" s="488">
        <v>0.75</v>
      </c>
      <c r="G13" s="489">
        <v>1</v>
      </c>
      <c r="H13" s="488">
        <v>1</v>
      </c>
      <c r="I13" s="488">
        <v>1</v>
      </c>
      <c r="J13" s="488">
        <v>1</v>
      </c>
      <c r="K13" s="81"/>
      <c r="L13" s="81"/>
      <c r="M13" s="81"/>
      <c r="N13" s="81"/>
      <c r="O13" s="81"/>
    </row>
    <row r="14" spans="1:17" s="192" customFormat="1" ht="63" x14ac:dyDescent="0.25">
      <c r="A14" s="445" t="s">
        <v>76</v>
      </c>
      <c r="B14" s="484" t="s">
        <v>337</v>
      </c>
      <c r="C14" s="490">
        <f>(('PS&amp;E - Inputs 1'!B17*'PS&amp;E - Inputs 1'!B18)+('PS&amp;E - Inputs 1'!B19*'PS&amp;E - Inputs 1'!B20))*'PS&amp;E - Inputs 1'!B12</f>
        <v>47250</v>
      </c>
      <c r="D14" s="488">
        <v>0</v>
      </c>
      <c r="E14" s="488">
        <v>0.25</v>
      </c>
      <c r="F14" s="488">
        <v>0.75</v>
      </c>
      <c r="G14" s="489">
        <v>1</v>
      </c>
      <c r="H14" s="488">
        <v>1</v>
      </c>
      <c r="I14" s="488">
        <v>1</v>
      </c>
      <c r="J14" s="488">
        <v>1</v>
      </c>
      <c r="K14" s="202"/>
      <c r="L14" s="202"/>
      <c r="M14" s="202"/>
      <c r="N14" s="202"/>
      <c r="O14" s="202"/>
    </row>
  </sheetData>
  <mergeCells count="3">
    <mergeCell ref="A4:J4"/>
    <mergeCell ref="F6:J6"/>
    <mergeCell ref="A7:J7"/>
  </mergeCells>
  <pageMargins left="0.7" right="0.7" top="0.75" bottom="0.75" header="0.3" footer="0.3"/>
  <pageSetup paperSize="17" scale="85" orientation="landscape" verticalDpi="0" r:id="rId1"/>
  <tableParts count="1">
    <tablePart r:id="rId2"/>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1:F16"/>
  <sheetViews>
    <sheetView zoomScale="70" zoomScaleNormal="70" workbookViewId="0">
      <pane ySplit="11" topLeftCell="A12" activePane="bottomLeft" state="frozen"/>
      <selection pane="bottomLeft" activeCell="B15" sqref="B15:E16"/>
    </sheetView>
  </sheetViews>
  <sheetFormatPr defaultRowHeight="15" x14ac:dyDescent="0.25"/>
  <cols>
    <col min="1" max="1" width="52.7109375" customWidth="1"/>
    <col min="2" max="2" width="20.7109375" customWidth="1"/>
    <col min="3" max="4" width="17" customWidth="1"/>
    <col min="5" max="5" width="29.28515625" customWidth="1"/>
    <col min="6" max="6" width="53" customWidth="1"/>
  </cols>
  <sheetData>
    <row r="1" spans="1:6" ht="21" x14ac:dyDescent="0.25">
      <c r="A1" s="533" t="s">
        <v>291</v>
      </c>
      <c r="B1" s="191"/>
      <c r="C1" s="191"/>
      <c r="D1" s="191"/>
      <c r="E1" s="191"/>
      <c r="F1" s="191"/>
    </row>
    <row r="2" spans="1:6" ht="18.75" x14ac:dyDescent="0.25">
      <c r="A2" s="532" t="s">
        <v>148</v>
      </c>
      <c r="B2" s="191"/>
      <c r="C2" s="191"/>
      <c r="D2" s="191"/>
      <c r="E2" s="191"/>
      <c r="F2" s="191"/>
    </row>
    <row r="3" spans="1:6" ht="16.5" thickBot="1" x14ac:dyDescent="0.3">
      <c r="A3" s="193"/>
      <c r="B3" s="193"/>
      <c r="C3" s="193"/>
      <c r="D3" s="193"/>
      <c r="E3" s="193"/>
      <c r="F3" s="193"/>
    </row>
    <row r="4" spans="1:6" ht="118.5" customHeight="1" thickTop="1" thickBot="1" x14ac:dyDescent="0.3">
      <c r="A4" s="650" t="s">
        <v>327</v>
      </c>
      <c r="B4" s="651"/>
      <c r="C4" s="651"/>
      <c r="D4" s="651"/>
      <c r="E4" s="651"/>
      <c r="F4" s="652"/>
    </row>
    <row r="5" spans="1:6" ht="15.75" thickTop="1" x14ac:dyDescent="0.25"/>
    <row r="6" spans="1:6" ht="18.75" x14ac:dyDescent="0.25">
      <c r="A6" s="534" t="s">
        <v>60</v>
      </c>
      <c r="B6" s="318"/>
      <c r="C6" s="318"/>
      <c r="D6" s="318"/>
      <c r="E6" s="318"/>
      <c r="F6" s="319"/>
    </row>
    <row r="7" spans="1:6" ht="165.75" customHeight="1" x14ac:dyDescent="0.25">
      <c r="A7" s="653" t="s">
        <v>491</v>
      </c>
      <c r="B7" s="654"/>
      <c r="C7" s="654"/>
      <c r="D7" s="654"/>
      <c r="E7" s="654"/>
      <c r="F7" s="655"/>
    </row>
    <row r="8" spans="1:6" ht="15.75" x14ac:dyDescent="0.25">
      <c r="A8" s="205"/>
      <c r="B8" s="205"/>
      <c r="C8" s="205"/>
      <c r="D8" s="205"/>
      <c r="E8" s="205"/>
      <c r="F8" s="205"/>
    </row>
    <row r="9" spans="1:6" ht="15.75" x14ac:dyDescent="0.25">
      <c r="A9" s="549" t="s">
        <v>452</v>
      </c>
      <c r="B9" s="205"/>
      <c r="C9" s="205"/>
      <c r="D9" s="205"/>
      <c r="E9" s="205"/>
      <c r="F9" s="205"/>
    </row>
    <row r="10" spans="1:6" ht="15.75" x14ac:dyDescent="0.25">
      <c r="A10" s="206"/>
      <c r="B10" s="206"/>
      <c r="C10" s="206"/>
      <c r="D10" s="206"/>
      <c r="E10" s="206"/>
      <c r="F10" s="206"/>
    </row>
    <row r="11" spans="1:6" ht="15.75" x14ac:dyDescent="0.25">
      <c r="A11" s="334" t="s">
        <v>295</v>
      </c>
      <c r="B11" s="335" t="s">
        <v>296</v>
      </c>
      <c r="C11" s="335" t="s">
        <v>297</v>
      </c>
      <c r="D11" s="335" t="s">
        <v>298</v>
      </c>
      <c r="E11" s="335" t="s">
        <v>299</v>
      </c>
      <c r="F11" s="336" t="s">
        <v>280</v>
      </c>
    </row>
    <row r="12" spans="1:6" ht="31.5" x14ac:dyDescent="0.25">
      <c r="A12" s="479" t="s">
        <v>142</v>
      </c>
      <c r="B12" s="486">
        <f>7/12</f>
        <v>0.58333333333333337</v>
      </c>
      <c r="C12" s="486">
        <v>0.25</v>
      </c>
      <c r="D12" s="454">
        <v>75000</v>
      </c>
      <c r="E12" s="457">
        <v>0.8</v>
      </c>
      <c r="F12" s="485">
        <f>(D12*(1+E12))*C12*B12</f>
        <v>19687.5</v>
      </c>
    </row>
    <row r="13" spans="1:6" ht="15.75" x14ac:dyDescent="0.25">
      <c r="A13" s="479" t="s">
        <v>89</v>
      </c>
      <c r="B13" s="486">
        <f>1/12</f>
        <v>8.3333333333333329E-2</v>
      </c>
      <c r="C13" s="486">
        <v>1</v>
      </c>
      <c r="D13" s="454">
        <v>75000</v>
      </c>
      <c r="E13" s="457">
        <v>0.8</v>
      </c>
      <c r="F13" s="485">
        <f>(D13*(1+E13))*C13*B13</f>
        <v>11250</v>
      </c>
    </row>
    <row r="14" spans="1:6" ht="15.75" x14ac:dyDescent="0.25">
      <c r="A14" s="479" t="s">
        <v>70</v>
      </c>
      <c r="B14" s="486">
        <v>1</v>
      </c>
      <c r="C14" s="486">
        <v>0.05</v>
      </c>
      <c r="D14" s="454">
        <v>60000</v>
      </c>
      <c r="E14" s="457">
        <v>0.8</v>
      </c>
      <c r="F14" s="485">
        <f>(D14*(1+E14))*C14*B14</f>
        <v>5400</v>
      </c>
    </row>
    <row r="15" spans="1:6" ht="15.75" x14ac:dyDescent="0.25">
      <c r="A15" s="479" t="s">
        <v>152</v>
      </c>
      <c r="B15" s="449" t="s">
        <v>306</v>
      </c>
      <c r="C15" s="449" t="s">
        <v>306</v>
      </c>
      <c r="D15" s="449" t="s">
        <v>306</v>
      </c>
      <c r="E15" s="449" t="s">
        <v>306</v>
      </c>
      <c r="F15" s="485">
        <f>SUM(F12:F14)</f>
        <v>36337.5</v>
      </c>
    </row>
    <row r="16" spans="1:6" ht="15.75" x14ac:dyDescent="0.25">
      <c r="A16" s="487" t="s">
        <v>153</v>
      </c>
      <c r="B16" s="449" t="s">
        <v>306</v>
      </c>
      <c r="C16" s="449" t="s">
        <v>306</v>
      </c>
      <c r="D16" s="449" t="s">
        <v>306</v>
      </c>
      <c r="E16" s="449" t="s">
        <v>306</v>
      </c>
      <c r="F16" s="485">
        <f>F14</f>
        <v>5400</v>
      </c>
    </row>
  </sheetData>
  <mergeCells count="2">
    <mergeCell ref="A4:F4"/>
    <mergeCell ref="A7:F7"/>
  </mergeCells>
  <pageMargins left="0.7" right="0.7" top="0.75" bottom="0.75" header="0.3" footer="0.3"/>
  <pageSetup paperSize="17" orientation="landscape" verticalDpi="0" r:id="rId1"/>
  <tableParts count="1">
    <tablePart r:id="rId2"/>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1:S22"/>
  <sheetViews>
    <sheetView zoomScale="70" zoomScaleNormal="70" workbookViewId="0">
      <pane ySplit="11" topLeftCell="A12" activePane="bottomLeft" state="frozen"/>
      <selection pane="bottomLeft"/>
    </sheetView>
  </sheetViews>
  <sheetFormatPr defaultRowHeight="15" x14ac:dyDescent="0.25"/>
  <cols>
    <col min="1" max="1" width="30.28515625" customWidth="1"/>
    <col min="2" max="2" width="75.85546875" customWidth="1"/>
    <col min="3" max="3" width="18.42578125" customWidth="1"/>
    <col min="4" max="10" width="18.7109375" customWidth="1"/>
  </cols>
  <sheetData>
    <row r="1" spans="1:19" ht="21" x14ac:dyDescent="0.25">
      <c r="A1" s="533" t="s">
        <v>291</v>
      </c>
      <c r="B1" s="191"/>
      <c r="C1" s="191"/>
      <c r="D1" s="191"/>
      <c r="E1" s="191"/>
      <c r="F1" s="191"/>
      <c r="G1" s="191"/>
      <c r="H1" s="191"/>
      <c r="I1" s="191"/>
      <c r="J1" s="191"/>
    </row>
    <row r="2" spans="1:19" ht="18.75" x14ac:dyDescent="0.25">
      <c r="A2" s="532" t="s">
        <v>148</v>
      </c>
      <c r="B2" s="191"/>
      <c r="C2" s="191"/>
      <c r="D2" s="191"/>
      <c r="E2" s="191"/>
      <c r="F2" s="191"/>
      <c r="G2" s="191"/>
      <c r="H2" s="191"/>
      <c r="I2" s="191"/>
      <c r="J2" s="191"/>
    </row>
    <row r="3" spans="1:19" ht="16.5" thickBot="1" x14ac:dyDescent="0.3">
      <c r="A3" s="193"/>
      <c r="B3" s="193"/>
      <c r="C3" s="193"/>
      <c r="D3" s="193"/>
      <c r="E3" s="193"/>
      <c r="F3" s="193"/>
      <c r="G3" s="193"/>
      <c r="H3" s="193"/>
      <c r="I3" s="193"/>
      <c r="J3" s="193"/>
    </row>
    <row r="4" spans="1:19" ht="93" customHeight="1" thickTop="1" thickBot="1" x14ac:dyDescent="0.3">
      <c r="A4" s="656" t="s">
        <v>327</v>
      </c>
      <c r="B4" s="657"/>
      <c r="C4" s="657"/>
      <c r="D4" s="657"/>
      <c r="E4" s="657"/>
      <c r="F4" s="657"/>
      <c r="G4" s="657"/>
      <c r="H4" s="657"/>
      <c r="I4" s="657"/>
      <c r="J4" s="658"/>
    </row>
    <row r="5" spans="1:19" ht="15.75" thickTop="1" x14ac:dyDescent="0.25"/>
    <row r="6" spans="1:19" ht="18.75" x14ac:dyDescent="0.25">
      <c r="A6" s="534" t="s">
        <v>60</v>
      </c>
      <c r="B6" s="220"/>
      <c r="C6" s="220"/>
      <c r="D6" s="220"/>
      <c r="E6" s="220"/>
      <c r="F6" s="220"/>
      <c r="G6" s="220"/>
      <c r="H6" s="220"/>
      <c r="I6" s="220"/>
      <c r="J6" s="220"/>
    </row>
    <row r="7" spans="1:19" ht="72.75" customHeight="1" x14ac:dyDescent="0.25">
      <c r="A7" s="653" t="s">
        <v>490</v>
      </c>
      <c r="B7" s="654"/>
      <c r="C7" s="654"/>
      <c r="D7" s="654"/>
      <c r="E7" s="654"/>
      <c r="F7" s="654"/>
      <c r="G7" s="654"/>
      <c r="H7" s="654"/>
      <c r="I7" s="654"/>
      <c r="J7" s="655"/>
    </row>
    <row r="9" spans="1:19" s="192" customFormat="1" ht="15.75" x14ac:dyDescent="0.25">
      <c r="A9" s="550" t="s">
        <v>479</v>
      </c>
      <c r="B9" s="206"/>
      <c r="C9" s="206"/>
      <c r="D9" s="206"/>
      <c r="E9" s="80"/>
      <c r="F9" s="80"/>
      <c r="G9" s="80"/>
      <c r="H9" s="80"/>
      <c r="I9" s="80"/>
      <c r="J9" s="80"/>
    </row>
    <row r="10" spans="1:19" s="192" customFormat="1" ht="15.75" x14ac:dyDescent="0.25">
      <c r="A10" s="191"/>
      <c r="B10" s="206"/>
      <c r="C10" s="206"/>
      <c r="D10" s="206"/>
      <c r="E10" s="80"/>
      <c r="F10" s="80"/>
      <c r="G10" s="80"/>
      <c r="H10" s="80"/>
      <c r="I10" s="80"/>
      <c r="J10" s="80"/>
    </row>
    <row r="11" spans="1:19" s="216" customFormat="1" ht="31.5" x14ac:dyDescent="0.25">
      <c r="A11" s="348" t="s">
        <v>294</v>
      </c>
      <c r="B11" s="350" t="s">
        <v>293</v>
      </c>
      <c r="C11" s="349" t="s">
        <v>273</v>
      </c>
      <c r="D11" s="349" t="s">
        <v>283</v>
      </c>
      <c r="E11" s="349" t="s">
        <v>284</v>
      </c>
      <c r="F11" s="349" t="s">
        <v>285</v>
      </c>
      <c r="G11" s="349" t="s">
        <v>286</v>
      </c>
      <c r="H11" s="349" t="s">
        <v>462</v>
      </c>
      <c r="I11" s="349" t="s">
        <v>287</v>
      </c>
      <c r="J11" s="358" t="s">
        <v>288</v>
      </c>
    </row>
    <row r="12" spans="1:19" s="192" customFormat="1" ht="85.5" customHeight="1" x14ac:dyDescent="0.25">
      <c r="A12" s="479" t="s">
        <v>50</v>
      </c>
      <c r="B12" s="484" t="s">
        <v>338</v>
      </c>
      <c r="C12" s="485">
        <f t="shared" ref="C12:C22" si="0">SUM(D12:J12)</f>
        <v>150000</v>
      </c>
      <c r="D12" s="454">
        <v>150000</v>
      </c>
      <c r="E12" s="454">
        <v>0</v>
      </c>
      <c r="F12" s="454">
        <v>0</v>
      </c>
      <c r="G12" s="454">
        <v>0</v>
      </c>
      <c r="H12" s="454">
        <v>0</v>
      </c>
      <c r="I12" s="454">
        <v>0</v>
      </c>
      <c r="J12" s="454">
        <v>0</v>
      </c>
      <c r="L12" s="81"/>
      <c r="M12" s="81"/>
      <c r="N12" s="81"/>
      <c r="O12" s="81"/>
      <c r="R12" s="81"/>
      <c r="S12" s="81"/>
    </row>
    <row r="13" spans="1:19" s="192" customFormat="1" ht="96" customHeight="1" x14ac:dyDescent="0.25">
      <c r="A13" s="483" t="s">
        <v>51</v>
      </c>
      <c r="B13" s="484" t="s">
        <v>339</v>
      </c>
      <c r="C13" s="485">
        <f t="shared" si="0"/>
        <v>100000</v>
      </c>
      <c r="D13" s="454">
        <f>10*10000</f>
        <v>100000</v>
      </c>
      <c r="E13" s="454">
        <v>0</v>
      </c>
      <c r="F13" s="454">
        <v>0</v>
      </c>
      <c r="G13" s="454">
        <v>0</v>
      </c>
      <c r="H13" s="454">
        <v>0</v>
      </c>
      <c r="I13" s="454">
        <v>0</v>
      </c>
      <c r="J13" s="454">
        <v>0</v>
      </c>
      <c r="L13" s="81"/>
      <c r="M13" s="208"/>
      <c r="N13" s="81"/>
      <c r="O13" s="81"/>
      <c r="R13" s="81"/>
      <c r="S13" s="81"/>
    </row>
    <row r="14" spans="1:19" s="192" customFormat="1" ht="54.75" customHeight="1" x14ac:dyDescent="0.25">
      <c r="A14" s="479" t="s">
        <v>52</v>
      </c>
      <c r="B14" s="484" t="s">
        <v>340</v>
      </c>
      <c r="C14" s="485">
        <f t="shared" si="0"/>
        <v>120000</v>
      </c>
      <c r="D14" s="454">
        <v>0</v>
      </c>
      <c r="E14" s="454">
        <f>D13*0.2</f>
        <v>20000</v>
      </c>
      <c r="F14" s="454">
        <f>E14</f>
        <v>20000</v>
      </c>
      <c r="G14" s="454">
        <f>F14</f>
        <v>20000</v>
      </c>
      <c r="H14" s="454">
        <f>G14</f>
        <v>20000</v>
      </c>
      <c r="I14" s="454">
        <f>H14</f>
        <v>20000</v>
      </c>
      <c r="J14" s="454">
        <f>I14</f>
        <v>20000</v>
      </c>
      <c r="L14" s="209"/>
      <c r="M14" s="210"/>
      <c r="N14" s="210"/>
      <c r="O14" s="210"/>
      <c r="R14" s="210"/>
      <c r="S14" s="210"/>
    </row>
    <row r="15" spans="1:19" s="192" customFormat="1" ht="50.25" customHeight="1" x14ac:dyDescent="0.25">
      <c r="A15" s="479" t="s">
        <v>53</v>
      </c>
      <c r="B15" s="484" t="s">
        <v>341</v>
      </c>
      <c r="C15" s="485">
        <f t="shared" si="0"/>
        <v>20000</v>
      </c>
      <c r="D15" s="454">
        <v>20000</v>
      </c>
      <c r="E15" s="454">
        <v>0</v>
      </c>
      <c r="F15" s="454" t="s">
        <v>306</v>
      </c>
      <c r="G15" s="454" t="s">
        <v>306</v>
      </c>
      <c r="H15" s="454" t="s">
        <v>306</v>
      </c>
      <c r="I15" s="454" t="s">
        <v>306</v>
      </c>
      <c r="J15" s="454" t="s">
        <v>306</v>
      </c>
      <c r="L15" s="81"/>
      <c r="M15" s="81"/>
      <c r="N15" s="81"/>
      <c r="O15" s="81"/>
      <c r="R15" s="81"/>
      <c r="S15" s="81"/>
    </row>
    <row r="16" spans="1:19" s="192" customFormat="1" ht="45.6" customHeight="1" x14ac:dyDescent="0.25">
      <c r="A16" s="479" t="s">
        <v>54</v>
      </c>
      <c r="B16" s="484" t="s">
        <v>342</v>
      </c>
      <c r="C16" s="485">
        <f t="shared" si="0"/>
        <v>0</v>
      </c>
      <c r="D16" s="454">
        <v>0</v>
      </c>
      <c r="E16" s="454">
        <v>0</v>
      </c>
      <c r="F16" s="454">
        <v>0</v>
      </c>
      <c r="G16" s="454">
        <v>0</v>
      </c>
      <c r="H16" s="454">
        <v>0</v>
      </c>
      <c r="I16" s="454">
        <v>0</v>
      </c>
      <c r="J16" s="454">
        <v>0</v>
      </c>
      <c r="L16" s="81"/>
      <c r="M16" s="81"/>
      <c r="N16" s="81"/>
      <c r="O16" s="81"/>
      <c r="R16" s="81"/>
      <c r="S16" s="81"/>
    </row>
    <row r="17" spans="1:19" s="192" customFormat="1" ht="58.15" customHeight="1" x14ac:dyDescent="0.25">
      <c r="A17" s="479" t="s">
        <v>55</v>
      </c>
      <c r="B17" s="484" t="s">
        <v>343</v>
      </c>
      <c r="C17" s="485">
        <f t="shared" si="0"/>
        <v>20000</v>
      </c>
      <c r="D17" s="454">
        <f>10*2000</f>
        <v>20000</v>
      </c>
      <c r="E17" s="454">
        <v>0</v>
      </c>
      <c r="F17" s="454">
        <v>0</v>
      </c>
      <c r="G17" s="454">
        <v>0</v>
      </c>
      <c r="H17" s="454">
        <v>0</v>
      </c>
      <c r="I17" s="454">
        <v>0</v>
      </c>
      <c r="J17" s="454">
        <v>0</v>
      </c>
      <c r="L17" s="81"/>
      <c r="M17" s="81"/>
      <c r="N17" s="81"/>
      <c r="O17" s="81"/>
      <c r="R17" s="80"/>
      <c r="S17" s="80"/>
    </row>
    <row r="18" spans="1:19" s="192" customFormat="1" ht="40.9" customHeight="1" x14ac:dyDescent="0.25">
      <c r="A18" s="479" t="s">
        <v>56</v>
      </c>
      <c r="B18" s="484" t="s">
        <v>344</v>
      </c>
      <c r="C18" s="485">
        <f t="shared" si="0"/>
        <v>9000</v>
      </c>
      <c r="D18" s="454">
        <v>0</v>
      </c>
      <c r="E18" s="454">
        <f>D17*15%</f>
        <v>3000</v>
      </c>
      <c r="F18" s="454">
        <f>E18</f>
        <v>3000</v>
      </c>
      <c r="G18" s="454">
        <f>F18</f>
        <v>3000</v>
      </c>
      <c r="H18" s="454">
        <v>0</v>
      </c>
      <c r="I18" s="454">
        <v>0</v>
      </c>
      <c r="J18" s="454">
        <v>0</v>
      </c>
      <c r="L18" s="210"/>
      <c r="M18" s="210"/>
      <c r="N18" s="210"/>
      <c r="O18" s="210"/>
      <c r="R18" s="210"/>
      <c r="S18" s="210"/>
    </row>
    <row r="19" spans="1:19" s="192" customFormat="1" ht="67.900000000000006" customHeight="1" x14ac:dyDescent="0.25">
      <c r="A19" s="479" t="s">
        <v>151</v>
      </c>
      <c r="B19" s="484" t="s">
        <v>345</v>
      </c>
      <c r="C19" s="485">
        <f t="shared" si="0"/>
        <v>20000</v>
      </c>
      <c r="D19" s="454">
        <v>0</v>
      </c>
      <c r="E19" s="454">
        <v>0</v>
      </c>
      <c r="F19" s="454">
        <v>0</v>
      </c>
      <c r="G19" s="454">
        <v>0</v>
      </c>
      <c r="H19" s="454">
        <f>D17</f>
        <v>20000</v>
      </c>
      <c r="I19" s="454">
        <v>0</v>
      </c>
      <c r="J19" s="454">
        <v>0</v>
      </c>
      <c r="L19" s="81"/>
      <c r="M19" s="196"/>
      <c r="N19" s="196"/>
      <c r="O19" s="196"/>
      <c r="R19" s="80"/>
      <c r="S19" s="80"/>
    </row>
    <row r="20" spans="1:19" s="192" customFormat="1" ht="75" customHeight="1" x14ac:dyDescent="0.25">
      <c r="A20" s="479" t="s">
        <v>57</v>
      </c>
      <c r="B20" s="484" t="s">
        <v>346</v>
      </c>
      <c r="C20" s="485">
        <f t="shared" si="0"/>
        <v>36337.5</v>
      </c>
      <c r="D20" s="454">
        <f>'PS&amp;E - Inputs 3'!F15*0.9</f>
        <v>32703.75</v>
      </c>
      <c r="E20" s="454">
        <f>'PS&amp;E - Inputs 3'!F15*0.1</f>
        <v>3633.75</v>
      </c>
      <c r="F20" s="454" t="s">
        <v>306</v>
      </c>
      <c r="G20" s="454" t="s">
        <v>306</v>
      </c>
      <c r="H20" s="454" t="s">
        <v>306</v>
      </c>
      <c r="I20" s="454" t="s">
        <v>306</v>
      </c>
      <c r="J20" s="454" t="s">
        <v>306</v>
      </c>
      <c r="L20" s="81"/>
      <c r="M20" s="81"/>
      <c r="N20" s="81"/>
      <c r="O20" s="81"/>
      <c r="R20" s="81"/>
      <c r="S20" s="81"/>
    </row>
    <row r="21" spans="1:19" s="192" customFormat="1" ht="43.15" customHeight="1" x14ac:dyDescent="0.25">
      <c r="A21" s="479" t="s">
        <v>59</v>
      </c>
      <c r="B21" s="484" t="s">
        <v>347</v>
      </c>
      <c r="C21" s="485">
        <f t="shared" si="0"/>
        <v>32400</v>
      </c>
      <c r="D21" s="454">
        <v>0</v>
      </c>
      <c r="E21" s="454">
        <f>'PS&amp;E - Inputs 3'!$F$14</f>
        <v>5400</v>
      </c>
      <c r="F21" s="454">
        <f>E21</f>
        <v>5400</v>
      </c>
      <c r="G21" s="454">
        <f>F21</f>
        <v>5400</v>
      </c>
      <c r="H21" s="454">
        <f>G21</f>
        <v>5400</v>
      </c>
      <c r="I21" s="454">
        <f>H21</f>
        <v>5400</v>
      </c>
      <c r="J21" s="454">
        <f>I21</f>
        <v>5400</v>
      </c>
      <c r="L21" s="81"/>
      <c r="M21" s="196"/>
      <c r="N21" s="196"/>
      <c r="O21" s="196"/>
      <c r="R21" s="81"/>
      <c r="S21" s="81"/>
    </row>
    <row r="22" spans="1:19" s="192" customFormat="1" ht="54" customHeight="1" x14ac:dyDescent="0.25">
      <c r="A22" s="479" t="s">
        <v>58</v>
      </c>
      <c r="B22" s="484" t="s">
        <v>348</v>
      </c>
      <c r="C22" s="485">
        <f t="shared" si="0"/>
        <v>8450.625</v>
      </c>
      <c r="D22" s="454">
        <v>0</v>
      </c>
      <c r="E22" s="454">
        <v>0</v>
      </c>
      <c r="F22" s="454">
        <v>0</v>
      </c>
      <c r="G22" s="454">
        <f>(C20+C15)*15%</f>
        <v>8450.625</v>
      </c>
      <c r="H22" s="454">
        <v>0</v>
      </c>
      <c r="I22" s="454">
        <v>0</v>
      </c>
      <c r="J22" s="454">
        <v>0</v>
      </c>
      <c r="L22" s="81"/>
      <c r="M22" s="81"/>
      <c r="N22" s="81"/>
      <c r="O22" s="81"/>
      <c r="R22" s="81"/>
      <c r="S22" s="81"/>
    </row>
  </sheetData>
  <mergeCells count="2">
    <mergeCell ref="A4:J4"/>
    <mergeCell ref="A7:J7"/>
  </mergeCells>
  <pageMargins left="0.7" right="0.7" top="0.75" bottom="0.75" header="0.3" footer="0.3"/>
  <pageSetup paperSize="17" scale="75" orientation="landscape" verticalDpi="0" r:id="rId1"/>
  <tableParts count="1">
    <tablePart r:id="rId2"/>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1:Q53"/>
  <sheetViews>
    <sheetView zoomScale="70" zoomScaleNormal="70" workbookViewId="0">
      <pane ySplit="11" topLeftCell="A12" activePane="bottomLeft" state="frozen"/>
      <selection pane="bottomLeft" activeCell="A7" sqref="A7"/>
    </sheetView>
  </sheetViews>
  <sheetFormatPr defaultColWidth="9.140625" defaultRowHeight="15.75" x14ac:dyDescent="0.25"/>
  <cols>
    <col min="1" max="1" width="62.85546875" style="55" customWidth="1"/>
    <col min="2" max="2" width="17.42578125" style="55" customWidth="1"/>
    <col min="3" max="3" width="13.140625" style="55" customWidth="1"/>
    <col min="4" max="4" width="13" style="55" bestFit="1" customWidth="1"/>
    <col min="5" max="6" width="15.5703125" style="55" bestFit="1" customWidth="1"/>
    <col min="7" max="7" width="14.140625" style="55" bestFit="1" customWidth="1"/>
    <col min="8" max="8" width="15" style="55" bestFit="1" customWidth="1"/>
    <col min="9" max="9" width="18.5703125" style="55" customWidth="1"/>
    <col min="10" max="16384" width="9.140625" style="55"/>
  </cols>
  <sheetData>
    <row r="1" spans="1:17" ht="18.75" customHeight="1" x14ac:dyDescent="0.35">
      <c r="A1" s="521" t="s">
        <v>300</v>
      </c>
      <c r="B1" s="120"/>
      <c r="C1" s="120"/>
      <c r="D1" s="120"/>
      <c r="E1" s="120"/>
      <c r="F1" s="120"/>
      <c r="G1" s="120"/>
      <c r="H1" s="120"/>
      <c r="I1" s="120"/>
      <c r="J1" s="120"/>
      <c r="K1" s="119"/>
      <c r="L1" s="119"/>
      <c r="M1" s="119"/>
      <c r="N1" s="119"/>
      <c r="O1" s="117"/>
      <c r="P1" s="117"/>
      <c r="Q1" s="117"/>
    </row>
    <row r="2" spans="1:17" ht="18" customHeight="1" x14ac:dyDescent="0.3">
      <c r="A2" s="520" t="s">
        <v>154</v>
      </c>
      <c r="B2" s="120"/>
      <c r="C2" s="120"/>
      <c r="D2" s="120"/>
      <c r="E2" s="120"/>
      <c r="F2" s="120"/>
      <c r="G2" s="120"/>
      <c r="H2" s="120"/>
      <c r="I2" s="120"/>
      <c r="J2" s="120"/>
      <c r="K2" s="119"/>
      <c r="L2" s="119"/>
      <c r="M2" s="119"/>
      <c r="N2" s="119"/>
      <c r="O2" s="117"/>
      <c r="P2" s="117"/>
      <c r="Q2" s="117"/>
    </row>
    <row r="3" spans="1:17" ht="18" customHeight="1" thickBot="1" x14ac:dyDescent="0.3">
      <c r="A3" s="64"/>
      <c r="B3" s="120"/>
      <c r="C3" s="120"/>
      <c r="D3" s="120"/>
      <c r="E3" s="120"/>
      <c r="F3" s="120"/>
      <c r="G3" s="120"/>
      <c r="H3" s="120"/>
      <c r="I3" s="120"/>
      <c r="J3" s="120"/>
      <c r="K3" s="119"/>
      <c r="L3" s="119"/>
      <c r="M3" s="119"/>
      <c r="N3" s="119"/>
      <c r="O3" s="117"/>
      <c r="P3" s="117"/>
      <c r="Q3" s="117"/>
    </row>
    <row r="4" spans="1:17" ht="113.25" customHeight="1" thickTop="1" thickBot="1" x14ac:dyDescent="0.3">
      <c r="A4" s="626" t="s">
        <v>349</v>
      </c>
      <c r="B4" s="627"/>
      <c r="C4" s="627"/>
      <c r="D4" s="627"/>
      <c r="E4" s="627"/>
      <c r="F4" s="627"/>
      <c r="G4" s="627"/>
      <c r="H4" s="627"/>
      <c r="I4" s="628"/>
      <c r="J4" s="58"/>
      <c r="K4" s="53"/>
      <c r="L4" s="53"/>
      <c r="M4" s="53"/>
      <c r="N4" s="53"/>
      <c r="O4" s="117"/>
      <c r="P4" s="117"/>
      <c r="Q4" s="117"/>
    </row>
    <row r="5" spans="1:17" ht="16.5" thickTop="1" x14ac:dyDescent="0.25">
      <c r="A5" s="195"/>
      <c r="B5" s="195"/>
      <c r="C5" s="195"/>
      <c r="D5" s="195"/>
      <c r="E5" s="195"/>
      <c r="F5" s="195"/>
      <c r="G5" s="195"/>
      <c r="H5" s="195"/>
      <c r="I5" s="195"/>
      <c r="J5" s="58"/>
      <c r="K5" s="53"/>
      <c r="L5" s="53"/>
      <c r="M5" s="53"/>
      <c r="N5" s="53"/>
      <c r="O5" s="117"/>
      <c r="P5" s="117"/>
      <c r="Q5" s="117"/>
    </row>
    <row r="6" spans="1:17" ht="111.75" customHeight="1" x14ac:dyDescent="0.25">
      <c r="A6" s="660" t="s">
        <v>532</v>
      </c>
      <c r="B6" s="661"/>
      <c r="C6" s="661"/>
      <c r="D6" s="661"/>
      <c r="E6" s="661"/>
      <c r="F6" s="661"/>
      <c r="G6" s="661"/>
      <c r="H6" s="661"/>
      <c r="I6" s="662"/>
      <c r="J6" s="58"/>
      <c r="K6" s="53"/>
      <c r="L6" s="53"/>
      <c r="M6" s="53"/>
      <c r="N6" s="53"/>
      <c r="O6" s="117"/>
      <c r="P6" s="117"/>
      <c r="Q6" s="117"/>
    </row>
    <row r="7" spans="1:17" x14ac:dyDescent="0.25">
      <c r="A7" s="195"/>
      <c r="B7" s="195"/>
      <c r="C7" s="195"/>
      <c r="D7" s="195"/>
      <c r="E7" s="195"/>
      <c r="F7" s="195"/>
      <c r="G7" s="195"/>
      <c r="H7" s="195"/>
      <c r="I7" s="195"/>
      <c r="J7" s="58"/>
      <c r="K7" s="53"/>
      <c r="L7" s="53"/>
      <c r="M7" s="53"/>
      <c r="N7" s="53"/>
      <c r="O7" s="117"/>
      <c r="P7" s="117"/>
      <c r="Q7" s="117"/>
    </row>
    <row r="8" spans="1:17" x14ac:dyDescent="0.25">
      <c r="A8" s="642" t="s">
        <v>520</v>
      </c>
      <c r="B8" s="643"/>
      <c r="C8" s="643"/>
      <c r="D8" s="643"/>
      <c r="E8" s="643"/>
      <c r="F8" s="643"/>
      <c r="G8" s="643"/>
      <c r="H8" s="643"/>
      <c r="I8" s="643"/>
      <c r="J8" s="58"/>
      <c r="K8" s="53"/>
      <c r="L8" s="53"/>
      <c r="M8" s="53"/>
      <c r="N8" s="53"/>
      <c r="O8" s="117"/>
      <c r="P8" s="117"/>
      <c r="Q8" s="117"/>
    </row>
    <row r="9" spans="1:17" ht="71.45" customHeight="1" x14ac:dyDescent="0.25">
      <c r="A9" s="641" t="s">
        <v>350</v>
      </c>
      <c r="B9" s="641"/>
      <c r="C9" s="641"/>
      <c r="D9" s="641"/>
      <c r="E9" s="641"/>
      <c r="F9" s="641"/>
      <c r="G9" s="641"/>
      <c r="H9" s="641"/>
      <c r="I9" s="641"/>
      <c r="J9" s="58"/>
      <c r="K9" s="53"/>
      <c r="L9" s="53"/>
      <c r="M9" s="53"/>
      <c r="N9" s="53"/>
      <c r="O9" s="117"/>
      <c r="P9" s="117"/>
      <c r="Q9" s="117"/>
    </row>
    <row r="10" spans="1:17" x14ac:dyDescent="0.25">
      <c r="A10" s="133"/>
      <c r="B10" s="133"/>
      <c r="C10" s="133"/>
      <c r="D10" s="133"/>
      <c r="E10" s="133"/>
      <c r="F10" s="133"/>
      <c r="G10" s="133"/>
      <c r="H10" s="133"/>
      <c r="I10" s="133"/>
      <c r="J10" s="117"/>
      <c r="K10" s="117"/>
      <c r="L10" s="117"/>
      <c r="M10" s="117"/>
      <c r="N10" s="117"/>
      <c r="O10" s="117"/>
      <c r="P10" s="117"/>
      <c r="Q10" s="117"/>
    </row>
    <row r="11" spans="1:17" x14ac:dyDescent="0.25">
      <c r="A11" s="181" t="s">
        <v>521</v>
      </c>
      <c r="B11" s="182" t="s">
        <v>522</v>
      </c>
      <c r="C11" s="182" t="s">
        <v>523</v>
      </c>
      <c r="D11" s="182" t="s">
        <v>524</v>
      </c>
      <c r="E11" s="182" t="s">
        <v>525</v>
      </c>
      <c r="F11" s="182" t="s">
        <v>526</v>
      </c>
      <c r="G11" s="182" t="s">
        <v>527</v>
      </c>
      <c r="H11" s="182" t="s">
        <v>528</v>
      </c>
      <c r="I11" s="182" t="s">
        <v>529</v>
      </c>
      <c r="J11" s="117"/>
      <c r="K11" s="117"/>
      <c r="L11" s="117"/>
      <c r="M11" s="117"/>
      <c r="N11" s="117"/>
      <c r="O11" s="117"/>
      <c r="P11" s="117"/>
      <c r="Q11" s="117"/>
    </row>
    <row r="12" spans="1:17" x14ac:dyDescent="0.25">
      <c r="A12" s="417" t="str">
        <f>'PS&amp;E - Inputs 2'!A12</f>
        <v>Time savings during PS&amp;E review/comments</v>
      </c>
      <c r="B12" s="428">
        <f>SUM(C12:I12)</f>
        <v>1300000</v>
      </c>
      <c r="C12" s="481">
        <f>'PS&amp;E - Inputs 2'!D12*'PS&amp;E - Inputs 2'!$C$12</f>
        <v>0</v>
      </c>
      <c r="D12" s="481">
        <f>'PS&amp;E - Inputs 2'!E12*'PS&amp;E - Inputs 2'!$C$12</f>
        <v>65000</v>
      </c>
      <c r="E12" s="481">
        <f>'PS&amp;E - Inputs 2'!F12*'PS&amp;E - Inputs 2'!$C$12</f>
        <v>195000</v>
      </c>
      <c r="F12" s="481">
        <f>'PS&amp;E - Inputs 2'!G12*'PS&amp;E - Inputs 2'!$C$12</f>
        <v>260000</v>
      </c>
      <c r="G12" s="481">
        <f>'PS&amp;E - Inputs 2'!H12*'PS&amp;E - Inputs 2'!$C$12</f>
        <v>260000</v>
      </c>
      <c r="H12" s="481">
        <f>'PS&amp;E - Inputs 2'!I12*'PS&amp;E - Inputs 2'!$C$12</f>
        <v>260000</v>
      </c>
      <c r="I12" s="481">
        <f>'PS&amp;E - Inputs 2'!J12*'PS&amp;E - Inputs 2'!$C$12</f>
        <v>260000</v>
      </c>
    </row>
    <row r="13" spans="1:17" ht="15" customHeight="1" x14ac:dyDescent="0.25">
      <c r="A13" s="417" t="str">
        <f>'PS&amp;E - Inputs 2'!A13</f>
        <v>Cost saving for quantity take-off and other analysis activities</v>
      </c>
      <c r="B13" s="428">
        <f>SUM(C13:I13)</f>
        <v>650000</v>
      </c>
      <c r="C13" s="481">
        <f>'PS&amp;E - Inputs 2'!$C$13*'PS&amp;E - Inputs 2'!D13</f>
        <v>0</v>
      </c>
      <c r="D13" s="481">
        <f>'PS&amp;E - Inputs 2'!$C$13*'PS&amp;E - Inputs 2'!E13</f>
        <v>32500</v>
      </c>
      <c r="E13" s="481">
        <f>'PS&amp;E - Inputs 2'!$C$13*'PS&amp;E - Inputs 2'!F13</f>
        <v>97500</v>
      </c>
      <c r="F13" s="481">
        <f>'PS&amp;E - Inputs 2'!$C$13*'PS&amp;E - Inputs 2'!G13</f>
        <v>130000</v>
      </c>
      <c r="G13" s="481">
        <f>'PS&amp;E - Inputs 2'!$C$13*'PS&amp;E - Inputs 2'!H13</f>
        <v>130000</v>
      </c>
      <c r="H13" s="481">
        <f>'PS&amp;E - Inputs 2'!$C$13*'PS&amp;E - Inputs 2'!I13</f>
        <v>130000</v>
      </c>
      <c r="I13" s="481">
        <f>'PS&amp;E - Inputs 2'!$C$13*'PS&amp;E - Inputs 2'!J13</f>
        <v>130000</v>
      </c>
    </row>
    <row r="14" spans="1:17" ht="31.5" x14ac:dyDescent="0.25">
      <c r="A14" s="417" t="str">
        <f>'PS&amp;E - Inputs 2'!A14</f>
        <v>Eliminated use of paper, printing, mailing, faxing, scanning and reduced paper storage requirements</v>
      </c>
      <c r="B14" s="428">
        <f>SUM(C14:I14)</f>
        <v>236250</v>
      </c>
      <c r="C14" s="481">
        <f>'PS&amp;E - Inputs 2'!$C$14*'PS&amp;E - Inputs 2'!D14</f>
        <v>0</v>
      </c>
      <c r="D14" s="481">
        <f>'PS&amp;E - Inputs 2'!$C$14*'PS&amp;E - Inputs 2'!E14</f>
        <v>11812.5</v>
      </c>
      <c r="E14" s="481">
        <f>'PS&amp;E - Inputs 2'!$C$14*'PS&amp;E - Inputs 2'!F14</f>
        <v>35437.5</v>
      </c>
      <c r="F14" s="481">
        <f>'PS&amp;E - Inputs 2'!$C$14*'PS&amp;E - Inputs 2'!G14</f>
        <v>47250</v>
      </c>
      <c r="G14" s="481">
        <f>'PS&amp;E - Inputs 2'!$C$14*'PS&amp;E - Inputs 2'!H14</f>
        <v>47250</v>
      </c>
      <c r="H14" s="481">
        <f>'PS&amp;E - Inputs 2'!$C$14*'PS&amp;E - Inputs 2'!I14</f>
        <v>47250</v>
      </c>
      <c r="I14" s="481">
        <f>'PS&amp;E - Inputs 2'!$C$14*'PS&amp;E - Inputs 2'!J14</f>
        <v>47250</v>
      </c>
    </row>
    <row r="15" spans="1:17" x14ac:dyDescent="0.25">
      <c r="A15" s="465" t="s">
        <v>26</v>
      </c>
      <c r="B15" s="428">
        <f>SUM(B12:B14)</f>
        <v>2186250</v>
      </c>
      <c r="C15" s="428">
        <f>SUM(C12:C14)</f>
        <v>0</v>
      </c>
      <c r="D15" s="428">
        <f t="shared" ref="D15:I15" si="0">SUM(D12:D14)</f>
        <v>109312.5</v>
      </c>
      <c r="E15" s="428">
        <f t="shared" si="0"/>
        <v>327937.5</v>
      </c>
      <c r="F15" s="428">
        <f t="shared" si="0"/>
        <v>437250</v>
      </c>
      <c r="G15" s="428">
        <f t="shared" si="0"/>
        <v>437250</v>
      </c>
      <c r="H15" s="428">
        <f t="shared" si="0"/>
        <v>437250</v>
      </c>
      <c r="I15" s="428">
        <f t="shared" si="0"/>
        <v>437250</v>
      </c>
    </row>
    <row r="16" spans="1:17" x14ac:dyDescent="0.25">
      <c r="A16" s="374"/>
      <c r="B16" s="375"/>
      <c r="C16" s="376"/>
      <c r="D16" s="376"/>
      <c r="E16" s="376"/>
      <c r="F16" s="376"/>
      <c r="G16" s="376"/>
      <c r="H16" s="376"/>
      <c r="I16" s="377"/>
    </row>
    <row r="17" spans="1:11" x14ac:dyDescent="0.25">
      <c r="A17" s="181" t="s">
        <v>530</v>
      </c>
      <c r="B17" s="182" t="s">
        <v>522</v>
      </c>
      <c r="C17" s="182" t="s">
        <v>523</v>
      </c>
      <c r="D17" s="182" t="s">
        <v>524</v>
      </c>
      <c r="E17" s="182" t="s">
        <v>525</v>
      </c>
      <c r="F17" s="182" t="s">
        <v>526</v>
      </c>
      <c r="G17" s="182" t="s">
        <v>527</v>
      </c>
      <c r="H17" s="182" t="s">
        <v>528</v>
      </c>
      <c r="I17" s="182" t="s">
        <v>529</v>
      </c>
    </row>
    <row r="18" spans="1:11" x14ac:dyDescent="0.25">
      <c r="A18" s="382" t="str">
        <f>'PS&amp;E - Inputs 4'!A12</f>
        <v>Pre-implementation planning consultant</v>
      </c>
      <c r="B18" s="428">
        <f>SUM(C18:I18)</f>
        <v>150000</v>
      </c>
      <c r="C18" s="481">
        <f>'PS&amp;E - Inputs 4'!D12</f>
        <v>150000</v>
      </c>
      <c r="D18" s="481">
        <f>'PS&amp;E - Inputs 4'!E12</f>
        <v>0</v>
      </c>
      <c r="E18" s="481">
        <f>'PS&amp;E - Inputs 4'!F12</f>
        <v>0</v>
      </c>
      <c r="F18" s="481">
        <f>'PS&amp;E - Inputs 4'!G12</f>
        <v>0</v>
      </c>
      <c r="G18" s="481">
        <f>'PS&amp;E - Inputs 4'!H12</f>
        <v>0</v>
      </c>
      <c r="H18" s="481">
        <f>'PS&amp;E - Inputs 4'!I12</f>
        <v>0</v>
      </c>
      <c r="I18" s="481">
        <f>'PS&amp;E - Inputs 4'!J12</f>
        <v>0</v>
      </c>
    </row>
    <row r="19" spans="1:11" x14ac:dyDescent="0.25">
      <c r="A19" s="418" t="str">
        <f>'PS&amp;E - Inputs 4'!A13</f>
        <v>COTS software licenses</v>
      </c>
      <c r="B19" s="428">
        <f t="shared" ref="B19:B28" si="1">SUM(C19:I19)</f>
        <v>100000</v>
      </c>
      <c r="C19" s="481">
        <f>'PS&amp;E - Inputs 4'!D13</f>
        <v>100000</v>
      </c>
      <c r="D19" s="481">
        <f>'PS&amp;E - Inputs 4'!E13</f>
        <v>0</v>
      </c>
      <c r="E19" s="481">
        <f>'PS&amp;E - Inputs 4'!F13</f>
        <v>0</v>
      </c>
      <c r="F19" s="481">
        <f>'PS&amp;E - Inputs 4'!G13</f>
        <v>0</v>
      </c>
      <c r="G19" s="481">
        <f>'PS&amp;E - Inputs 4'!H13</f>
        <v>0</v>
      </c>
      <c r="H19" s="481">
        <f>'PS&amp;E - Inputs 4'!I13</f>
        <v>0</v>
      </c>
      <c r="I19" s="481">
        <f>'PS&amp;E - Inputs 4'!J13</f>
        <v>0</v>
      </c>
    </row>
    <row r="20" spans="1:11" x14ac:dyDescent="0.25">
      <c r="A20" s="382" t="str">
        <f>'PS&amp;E - Inputs 4'!A14</f>
        <v>COTS software maintenance</v>
      </c>
      <c r="B20" s="428">
        <f t="shared" si="1"/>
        <v>120000</v>
      </c>
      <c r="C20" s="481">
        <f>'PS&amp;E - Inputs 4'!D14</f>
        <v>0</v>
      </c>
      <c r="D20" s="481">
        <f>'PS&amp;E - Inputs 4'!E14</f>
        <v>20000</v>
      </c>
      <c r="E20" s="481">
        <f>'PS&amp;E - Inputs 4'!F14</f>
        <v>20000</v>
      </c>
      <c r="F20" s="481">
        <f>'PS&amp;E - Inputs 4'!G14</f>
        <v>20000</v>
      </c>
      <c r="G20" s="481">
        <f>'PS&amp;E - Inputs 4'!H14</f>
        <v>20000</v>
      </c>
      <c r="H20" s="481">
        <f>'PS&amp;E - Inputs 4'!I14</f>
        <v>20000</v>
      </c>
      <c r="I20" s="481">
        <f>'PS&amp;E - Inputs 4'!J14</f>
        <v>20000</v>
      </c>
    </row>
    <row r="21" spans="1:11" x14ac:dyDescent="0.25">
      <c r="A21" s="382" t="str">
        <f>'PS&amp;E - Inputs 4'!A15</f>
        <v>Systems integration services</v>
      </c>
      <c r="B21" s="428">
        <f t="shared" si="1"/>
        <v>20000</v>
      </c>
      <c r="C21" s="481">
        <f>'PS&amp;E - Inputs 4'!D15</f>
        <v>20000</v>
      </c>
      <c r="D21" s="481">
        <f>'PS&amp;E - Inputs 4'!E15</f>
        <v>0</v>
      </c>
      <c r="E21" s="481" t="str">
        <f>'PS&amp;E - Inputs 4'!F15</f>
        <v>N/A</v>
      </c>
      <c r="F21" s="481" t="str">
        <f>'PS&amp;E - Inputs 4'!G15</f>
        <v>N/A</v>
      </c>
      <c r="G21" s="481" t="str">
        <f>'PS&amp;E - Inputs 4'!H15</f>
        <v>N/A</v>
      </c>
      <c r="H21" s="481" t="str">
        <f>'PS&amp;E - Inputs 4'!I15</f>
        <v>N/A</v>
      </c>
      <c r="I21" s="481" t="str">
        <f>'PS&amp;E - Inputs 4'!J15</f>
        <v>N/A</v>
      </c>
    </row>
    <row r="22" spans="1:11" x14ac:dyDescent="0.25">
      <c r="A22" s="382" t="str">
        <f>'PS&amp;E - Inputs 4'!A16</f>
        <v xml:space="preserve">Managed services support </v>
      </c>
      <c r="B22" s="428">
        <f t="shared" si="1"/>
        <v>0</v>
      </c>
      <c r="C22" s="481">
        <f>'PS&amp;E - Inputs 4'!D16</f>
        <v>0</v>
      </c>
      <c r="D22" s="481">
        <f>'PS&amp;E - Inputs 4'!E16</f>
        <v>0</v>
      </c>
      <c r="E22" s="481">
        <f>'PS&amp;E - Inputs 4'!F16</f>
        <v>0</v>
      </c>
      <c r="F22" s="481">
        <f>'PS&amp;E - Inputs 4'!G16</f>
        <v>0</v>
      </c>
      <c r="G22" s="481">
        <f>'PS&amp;E - Inputs 4'!H16</f>
        <v>0</v>
      </c>
      <c r="H22" s="481">
        <f>'PS&amp;E - Inputs 4'!I16</f>
        <v>0</v>
      </c>
      <c r="I22" s="481">
        <f>'PS&amp;E - Inputs 4'!J16</f>
        <v>0</v>
      </c>
    </row>
    <row r="23" spans="1:11" x14ac:dyDescent="0.25">
      <c r="A23" s="382" t="str">
        <f>'PS&amp;E - Inputs 4'!A17</f>
        <v>Hardware and other technical infrastructure</v>
      </c>
      <c r="B23" s="428">
        <f t="shared" si="1"/>
        <v>20000</v>
      </c>
      <c r="C23" s="481">
        <f>'PS&amp;E - Inputs 4'!D17</f>
        <v>20000</v>
      </c>
      <c r="D23" s="481">
        <f>'PS&amp;E - Inputs 4'!E17</f>
        <v>0</v>
      </c>
      <c r="E23" s="481">
        <f>'PS&amp;E - Inputs 4'!F17</f>
        <v>0</v>
      </c>
      <c r="F23" s="481">
        <f>'PS&amp;E - Inputs 4'!G17</f>
        <v>0</v>
      </c>
      <c r="G23" s="481">
        <f>'PS&amp;E - Inputs 4'!H17</f>
        <v>0</v>
      </c>
      <c r="H23" s="481">
        <f>'PS&amp;E - Inputs 4'!I17</f>
        <v>0</v>
      </c>
      <c r="I23" s="481">
        <f>'PS&amp;E - Inputs 4'!J17</f>
        <v>0</v>
      </c>
    </row>
    <row r="24" spans="1:11" x14ac:dyDescent="0.25">
      <c r="A24" s="382" t="str">
        <f>'PS&amp;E - Inputs 4'!A18</f>
        <v>Hardware and infrastructure maintenance</v>
      </c>
      <c r="B24" s="428">
        <f t="shared" si="1"/>
        <v>9000</v>
      </c>
      <c r="C24" s="481">
        <f>'PS&amp;E - Inputs 4'!D18</f>
        <v>0</v>
      </c>
      <c r="D24" s="481">
        <f>'PS&amp;E - Inputs 4'!E18</f>
        <v>3000</v>
      </c>
      <c r="E24" s="481">
        <f>'PS&amp;E - Inputs 4'!F18</f>
        <v>3000</v>
      </c>
      <c r="F24" s="481">
        <f>'PS&amp;E - Inputs 4'!G18</f>
        <v>3000</v>
      </c>
      <c r="G24" s="481">
        <f>'PS&amp;E - Inputs 4'!H18</f>
        <v>0</v>
      </c>
      <c r="H24" s="481">
        <f>'PS&amp;E - Inputs 4'!I18</f>
        <v>0</v>
      </c>
      <c r="I24" s="481">
        <f>'PS&amp;E - Inputs 4'!J18</f>
        <v>0</v>
      </c>
    </row>
    <row r="25" spans="1:11" x14ac:dyDescent="0.25">
      <c r="A25" s="382" t="str">
        <f>'PS&amp;E - Inputs 4'!A19</f>
        <v>Hardware replacement/updates</v>
      </c>
      <c r="B25" s="428">
        <f t="shared" si="1"/>
        <v>20000</v>
      </c>
      <c r="C25" s="481">
        <f>'PS&amp;E - Inputs 4'!D19</f>
        <v>0</v>
      </c>
      <c r="D25" s="481">
        <f>'PS&amp;E - Inputs 4'!E19</f>
        <v>0</v>
      </c>
      <c r="E25" s="481">
        <f>'PS&amp;E - Inputs 4'!F19</f>
        <v>0</v>
      </c>
      <c r="F25" s="481">
        <f>'PS&amp;E - Inputs 4'!G19</f>
        <v>0</v>
      </c>
      <c r="G25" s="481">
        <f>'PS&amp;E - Inputs 4'!H19</f>
        <v>20000</v>
      </c>
      <c r="H25" s="481">
        <f>'PS&amp;E - Inputs 4'!I19</f>
        <v>0</v>
      </c>
      <c r="I25" s="481">
        <f>'PS&amp;E - Inputs 4'!J19</f>
        <v>0</v>
      </c>
    </row>
    <row r="26" spans="1:11" x14ac:dyDescent="0.25">
      <c r="A26" s="382" t="str">
        <f>'PS&amp;E - Inputs 4'!A20</f>
        <v>Agency staff cost during project</v>
      </c>
      <c r="B26" s="428">
        <f t="shared" si="1"/>
        <v>36337.5</v>
      </c>
      <c r="C26" s="481">
        <f>'PS&amp;E - Inputs 4'!D20</f>
        <v>32703.75</v>
      </c>
      <c r="D26" s="481">
        <f>'PS&amp;E - Inputs 4'!E20</f>
        <v>3633.75</v>
      </c>
      <c r="E26" s="481" t="str">
        <f>'PS&amp;E - Inputs 4'!F20</f>
        <v>N/A</v>
      </c>
      <c r="F26" s="481" t="str">
        <f>'PS&amp;E - Inputs 4'!G20</f>
        <v>N/A</v>
      </c>
      <c r="G26" s="481" t="str">
        <f>'PS&amp;E - Inputs 4'!H20</f>
        <v>N/A</v>
      </c>
      <c r="H26" s="481" t="str">
        <f>'PS&amp;E - Inputs 4'!I20</f>
        <v>N/A</v>
      </c>
      <c r="I26" s="481" t="str">
        <f>'PS&amp;E - Inputs 4'!J20</f>
        <v>N/A</v>
      </c>
    </row>
    <row r="27" spans="1:11" x14ac:dyDescent="0.25">
      <c r="A27" s="382" t="str">
        <f>'PS&amp;E - Inputs 4'!A21</f>
        <v>Agency staff cost to support system ongoing</v>
      </c>
      <c r="B27" s="428">
        <f t="shared" si="1"/>
        <v>32400</v>
      </c>
      <c r="C27" s="481">
        <f>'PS&amp;E - Inputs 4'!D21</f>
        <v>0</v>
      </c>
      <c r="D27" s="481">
        <f>'PS&amp;E - Inputs 4'!E21</f>
        <v>5400</v>
      </c>
      <c r="E27" s="481">
        <f>'PS&amp;E - Inputs 4'!F21</f>
        <v>5400</v>
      </c>
      <c r="F27" s="481">
        <f>'PS&amp;E - Inputs 4'!G21</f>
        <v>5400</v>
      </c>
      <c r="G27" s="481">
        <f>'PS&amp;E - Inputs 4'!H21</f>
        <v>5400</v>
      </c>
      <c r="H27" s="481">
        <f>'PS&amp;E - Inputs 4'!I21</f>
        <v>5400</v>
      </c>
      <c r="I27" s="481">
        <f>'PS&amp;E - Inputs 4'!J21</f>
        <v>5400</v>
      </c>
    </row>
    <row r="28" spans="1:11" x14ac:dyDescent="0.25">
      <c r="A28" s="382" t="str">
        <f>'PS&amp;E - Inputs 4'!A22</f>
        <v>Systems integration services for upgrade</v>
      </c>
      <c r="B28" s="428">
        <f t="shared" si="1"/>
        <v>8450.625</v>
      </c>
      <c r="C28" s="481">
        <f>'PS&amp;E - Inputs 4'!D22</f>
        <v>0</v>
      </c>
      <c r="D28" s="481">
        <f>'PS&amp;E - Inputs 4'!E22</f>
        <v>0</v>
      </c>
      <c r="E28" s="481">
        <f>'PS&amp;E - Inputs 4'!F22</f>
        <v>0</v>
      </c>
      <c r="F28" s="481">
        <f>'PS&amp;E - Inputs 4'!G22</f>
        <v>8450.625</v>
      </c>
      <c r="G28" s="481">
        <f>'PS&amp;E - Inputs 4'!H22</f>
        <v>0</v>
      </c>
      <c r="H28" s="481">
        <f>'PS&amp;E - Inputs 4'!I22</f>
        <v>0</v>
      </c>
      <c r="I28" s="481">
        <f>'PS&amp;E - Inputs 4'!J22</f>
        <v>0</v>
      </c>
    </row>
    <row r="29" spans="1:11" x14ac:dyDescent="0.25">
      <c r="A29" s="462" t="s">
        <v>27</v>
      </c>
      <c r="B29" s="428">
        <f t="shared" ref="B29:I29" si="2">SUM(B18:B28)</f>
        <v>516188.125</v>
      </c>
      <c r="C29" s="428">
        <f t="shared" si="2"/>
        <v>322703.75</v>
      </c>
      <c r="D29" s="428">
        <f t="shared" si="2"/>
        <v>32033.75</v>
      </c>
      <c r="E29" s="428">
        <f t="shared" si="2"/>
        <v>28400</v>
      </c>
      <c r="F29" s="428">
        <f t="shared" si="2"/>
        <v>36850.625</v>
      </c>
      <c r="G29" s="428">
        <f t="shared" si="2"/>
        <v>45400</v>
      </c>
      <c r="H29" s="428">
        <f t="shared" si="2"/>
        <v>25400</v>
      </c>
      <c r="I29" s="428">
        <f t="shared" si="2"/>
        <v>25400</v>
      </c>
    </row>
    <row r="30" spans="1:11" x14ac:dyDescent="0.25">
      <c r="A30" s="462" t="s">
        <v>205</v>
      </c>
      <c r="B30" s="482">
        <f>B15-B29</f>
        <v>1670061.875</v>
      </c>
      <c r="C30" s="428">
        <f>C15- C29</f>
        <v>-322703.75</v>
      </c>
      <c r="D30" s="428">
        <f>D15- D29</f>
        <v>77278.75</v>
      </c>
      <c r="E30" s="428">
        <f>E15 - E29</f>
        <v>299537.5</v>
      </c>
      <c r="F30" s="428">
        <f>F15 - F29</f>
        <v>400399.375</v>
      </c>
      <c r="G30" s="428">
        <f>G15- G29</f>
        <v>391850</v>
      </c>
      <c r="H30" s="428">
        <f>H15 - H29</f>
        <v>411850</v>
      </c>
      <c r="I30" s="428">
        <f>I15 - I29</f>
        <v>411850</v>
      </c>
    </row>
    <row r="31" spans="1:11" s="145" customFormat="1" x14ac:dyDescent="0.25">
      <c r="A31" s="465" t="s">
        <v>206</v>
      </c>
      <c r="B31" s="535" t="s">
        <v>306</v>
      </c>
      <c r="C31" s="428">
        <f>C30</f>
        <v>-322703.75</v>
      </c>
      <c r="D31" s="428">
        <f>D30+C30</f>
        <v>-245425</v>
      </c>
      <c r="E31" s="428">
        <f>E30+D31</f>
        <v>54112.5</v>
      </c>
      <c r="F31" s="428">
        <f>F30+E31</f>
        <v>454511.875</v>
      </c>
      <c r="G31" s="428">
        <f>G30+F31</f>
        <v>846361.875</v>
      </c>
      <c r="H31" s="428">
        <f>H30+G31</f>
        <v>1258211.875</v>
      </c>
      <c r="I31" s="428">
        <f>I30+H31</f>
        <v>1670061.875</v>
      </c>
    </row>
    <row r="32" spans="1:11" customFormat="1" ht="13.5" customHeight="1" x14ac:dyDescent="0.25">
      <c r="A32" s="31"/>
      <c r="B32" s="31"/>
      <c r="C32" s="31"/>
      <c r="D32" s="31"/>
      <c r="E32" s="31"/>
      <c r="F32" s="31"/>
      <c r="G32" s="31"/>
      <c r="H32" s="31"/>
      <c r="I32" s="31"/>
      <c r="J32" s="31"/>
      <c r="K32" s="31"/>
    </row>
    <row r="33" spans="1:11" s="145" customFormat="1" x14ac:dyDescent="0.25">
      <c r="A33" s="308" t="s">
        <v>42</v>
      </c>
      <c r="B33" s="426" t="str">
        <f>INDEX($C$41:$I$41,MATCH(TRUE, INDEX($C$31:$I$31 &gt;0,),0))</f>
        <v>Year 3</v>
      </c>
      <c r="C33" s="238"/>
      <c r="D33" s="215"/>
      <c r="E33" s="215"/>
      <c r="F33" s="215"/>
      <c r="G33" s="215"/>
      <c r="H33" s="215"/>
      <c r="I33" s="133"/>
      <c r="J33" s="133"/>
    </row>
    <row r="34" spans="1:11" s="145" customFormat="1" x14ac:dyDescent="0.25">
      <c r="A34" s="309" t="s">
        <v>440</v>
      </c>
      <c r="B34" s="427" t="s">
        <v>101</v>
      </c>
      <c r="C34" s="238"/>
      <c r="D34" s="215"/>
      <c r="E34" s="215"/>
      <c r="F34" s="215"/>
      <c r="G34" s="215"/>
      <c r="H34" s="215"/>
      <c r="I34" s="133"/>
      <c r="J34" s="133"/>
    </row>
    <row r="35" spans="1:11" s="145" customFormat="1" ht="17.25" customHeight="1" x14ac:dyDescent="0.25">
      <c r="A35" s="309" t="s">
        <v>439</v>
      </c>
      <c r="B35" s="427">
        <f>VLOOKUP(B34,B47:C53,2,FALSE)</f>
        <v>3.2353744577134549</v>
      </c>
      <c r="C35" s="133"/>
      <c r="D35" s="133"/>
      <c r="E35" s="133"/>
      <c r="F35" s="133"/>
      <c r="G35" s="133"/>
      <c r="H35" s="133"/>
      <c r="I35" s="133"/>
      <c r="J35" s="133"/>
    </row>
    <row r="36" spans="1:11" s="145" customFormat="1" x14ac:dyDescent="0.25">
      <c r="A36" s="309" t="s">
        <v>75</v>
      </c>
      <c r="B36" s="428">
        <f>VLOOKUP(B34,$B$47:$E$53,4,FALSE)/VLOOKUP(B34,$B$47:$E$53,3,FALSE)</f>
        <v>73741.16071428571</v>
      </c>
      <c r="C36" s="133"/>
      <c r="D36" s="133"/>
      <c r="E36" s="133"/>
      <c r="F36" s="133"/>
      <c r="G36" s="133"/>
      <c r="H36" s="133"/>
      <c r="I36" s="133"/>
      <c r="J36" s="133"/>
    </row>
    <row r="37" spans="1:11" s="145" customFormat="1" x14ac:dyDescent="0.25">
      <c r="A37" s="307" t="s">
        <v>207</v>
      </c>
      <c r="B37" s="428">
        <f>VLOOKUP(B34,$B$47:$F$53,5,FALSE)/VLOOKUP(B34,$B$47:$F$53,3,FALSE)</f>
        <v>238580.26785714287</v>
      </c>
      <c r="C37" s="133"/>
      <c r="D37" s="133"/>
      <c r="E37" s="133"/>
      <c r="F37" s="133"/>
      <c r="G37" s="133"/>
      <c r="H37" s="133"/>
      <c r="I37" s="133"/>
      <c r="J37" s="133"/>
    </row>
    <row r="38" spans="1:11" x14ac:dyDescent="0.25">
      <c r="A38" s="133"/>
      <c r="B38" s="133"/>
      <c r="C38" s="133"/>
      <c r="D38" s="133"/>
      <c r="E38" s="133"/>
      <c r="F38" s="133"/>
      <c r="G38" s="133"/>
      <c r="H38" s="133"/>
      <c r="I38" s="133"/>
      <c r="J38" s="117"/>
      <c r="K38" s="117"/>
    </row>
    <row r="40" spans="1:11" ht="15" hidden="1" customHeight="1" thickBot="1" x14ac:dyDescent="0.3">
      <c r="A40" s="221" t="s">
        <v>155</v>
      </c>
      <c r="B40" s="222"/>
      <c r="C40" s="222"/>
      <c r="D40" s="222"/>
      <c r="E40" s="222"/>
      <c r="F40" s="222"/>
      <c r="G40" s="222"/>
      <c r="H40" s="222"/>
      <c r="I40" s="223"/>
    </row>
    <row r="41" spans="1:11" ht="15" hidden="1" customHeight="1" x14ac:dyDescent="0.25">
      <c r="A41" s="581"/>
      <c r="B41" s="582"/>
      <c r="C41" s="582" t="s">
        <v>43</v>
      </c>
      <c r="D41" s="582" t="s">
        <v>44</v>
      </c>
      <c r="E41" s="582" t="s">
        <v>45</v>
      </c>
      <c r="F41" s="582" t="s">
        <v>46</v>
      </c>
      <c r="G41" s="582" t="s">
        <v>47</v>
      </c>
      <c r="H41" s="582" t="s">
        <v>48</v>
      </c>
      <c r="I41" s="583" t="s">
        <v>49</v>
      </c>
    </row>
    <row r="42" spans="1:11" hidden="1" x14ac:dyDescent="0.25">
      <c r="A42" s="224" t="s">
        <v>102</v>
      </c>
      <c r="B42" s="225"/>
      <c r="C42" s="226">
        <f>C29</f>
        <v>322703.75</v>
      </c>
      <c r="D42" s="226">
        <f t="shared" ref="D42:I42" si="3">D29+C42</f>
        <v>354737.5</v>
      </c>
      <c r="E42" s="226">
        <f t="shared" si="3"/>
        <v>383137.5</v>
      </c>
      <c r="F42" s="226">
        <f t="shared" si="3"/>
        <v>419988.125</v>
      </c>
      <c r="G42" s="226">
        <f t="shared" si="3"/>
        <v>465388.125</v>
      </c>
      <c r="H42" s="226">
        <f t="shared" si="3"/>
        <v>490788.125</v>
      </c>
      <c r="I42" s="227">
        <f t="shared" si="3"/>
        <v>516188.125</v>
      </c>
    </row>
    <row r="43" spans="1:11" hidden="1" x14ac:dyDescent="0.25">
      <c r="A43" s="224" t="s">
        <v>162</v>
      </c>
      <c r="B43" s="225"/>
      <c r="C43" s="228">
        <f t="shared" ref="C43:I43" si="4">C31/C42</f>
        <v>-1</v>
      </c>
      <c r="D43" s="228">
        <f t="shared" si="4"/>
        <v>-0.69184960710384436</v>
      </c>
      <c r="E43" s="228">
        <f t="shared" si="4"/>
        <v>0.1412351962415582</v>
      </c>
      <c r="F43" s="228">
        <f t="shared" si="4"/>
        <v>1.0822017289179306</v>
      </c>
      <c r="G43" s="228">
        <f t="shared" si="4"/>
        <v>1.8186151075513584</v>
      </c>
      <c r="H43" s="228">
        <f t="shared" si="4"/>
        <v>2.5636559054887482</v>
      </c>
      <c r="I43" s="229">
        <f t="shared" si="4"/>
        <v>3.2353744577134549</v>
      </c>
    </row>
    <row r="44" spans="1:11" hidden="1" x14ac:dyDescent="0.25">
      <c r="A44" s="224"/>
      <c r="B44" s="225"/>
      <c r="C44" s="225"/>
      <c r="D44" s="225"/>
      <c r="E44" s="225"/>
      <c r="F44" s="225"/>
      <c r="G44" s="225"/>
      <c r="H44" s="225"/>
      <c r="I44" s="230"/>
    </row>
    <row r="45" spans="1:11" hidden="1" x14ac:dyDescent="0.25">
      <c r="A45" s="224"/>
      <c r="B45" s="225"/>
      <c r="C45" s="225"/>
      <c r="D45" s="225"/>
      <c r="E45" s="225"/>
      <c r="F45" s="225"/>
      <c r="G45" s="225"/>
      <c r="H45" s="225"/>
      <c r="I45" s="230"/>
    </row>
    <row r="46" spans="1:11" hidden="1" x14ac:dyDescent="0.25">
      <c r="A46" s="224"/>
      <c r="B46" s="183" t="s">
        <v>163</v>
      </c>
      <c r="C46" s="183" t="s">
        <v>162</v>
      </c>
      <c r="D46" s="183" t="s">
        <v>163</v>
      </c>
      <c r="E46" s="183" t="s">
        <v>102</v>
      </c>
      <c r="F46" s="183" t="s">
        <v>206</v>
      </c>
      <c r="G46" s="225"/>
      <c r="H46" s="225"/>
      <c r="I46" s="230"/>
    </row>
    <row r="47" spans="1:11" hidden="1" x14ac:dyDescent="0.25">
      <c r="A47" s="224"/>
      <c r="B47" s="186" t="s">
        <v>95</v>
      </c>
      <c r="C47" s="185">
        <f>C43</f>
        <v>-1</v>
      </c>
      <c r="D47" s="183">
        <v>1</v>
      </c>
      <c r="E47" s="184">
        <f>C42</f>
        <v>322703.75</v>
      </c>
      <c r="F47" s="184">
        <f>C31</f>
        <v>-322703.75</v>
      </c>
      <c r="G47" s="225"/>
      <c r="H47" s="225"/>
      <c r="I47" s="230"/>
    </row>
    <row r="48" spans="1:11" hidden="1" x14ac:dyDescent="0.25">
      <c r="A48" s="224"/>
      <c r="B48" s="186" t="s">
        <v>96</v>
      </c>
      <c r="C48" s="185">
        <f>D43</f>
        <v>-0.69184960710384436</v>
      </c>
      <c r="D48" s="183">
        <v>2</v>
      </c>
      <c r="E48" s="184">
        <f>D42</f>
        <v>354737.5</v>
      </c>
      <c r="F48" s="184">
        <f>D31</f>
        <v>-245425</v>
      </c>
      <c r="G48" s="225"/>
      <c r="H48" s="225"/>
      <c r="I48" s="230"/>
    </row>
    <row r="49" spans="1:9" hidden="1" x14ac:dyDescent="0.25">
      <c r="A49" s="224"/>
      <c r="B49" s="186" t="s">
        <v>97</v>
      </c>
      <c r="C49" s="187">
        <f>E43</f>
        <v>0.1412351962415582</v>
      </c>
      <c r="D49" s="183">
        <v>3</v>
      </c>
      <c r="E49" s="184">
        <f>E42</f>
        <v>383137.5</v>
      </c>
      <c r="F49" s="184">
        <f>E31</f>
        <v>54112.5</v>
      </c>
      <c r="G49" s="225"/>
      <c r="H49" s="225"/>
      <c r="I49" s="230"/>
    </row>
    <row r="50" spans="1:9" hidden="1" x14ac:dyDescent="0.25">
      <c r="A50" s="224"/>
      <c r="B50" s="186" t="s">
        <v>98</v>
      </c>
      <c r="C50" s="187">
        <f>F43</f>
        <v>1.0822017289179306</v>
      </c>
      <c r="D50" s="183">
        <v>4</v>
      </c>
      <c r="E50" s="184">
        <f>F42</f>
        <v>419988.125</v>
      </c>
      <c r="F50" s="184">
        <f>F31</f>
        <v>454511.875</v>
      </c>
      <c r="G50" s="225"/>
      <c r="H50" s="225"/>
      <c r="I50" s="230"/>
    </row>
    <row r="51" spans="1:9" hidden="1" x14ac:dyDescent="0.25">
      <c r="A51" s="224"/>
      <c r="B51" s="186" t="s">
        <v>99</v>
      </c>
      <c r="C51" s="187">
        <f>G43</f>
        <v>1.8186151075513584</v>
      </c>
      <c r="D51" s="183">
        <v>5</v>
      </c>
      <c r="E51" s="184">
        <f>G42</f>
        <v>465388.125</v>
      </c>
      <c r="F51" s="184">
        <f>G31</f>
        <v>846361.875</v>
      </c>
      <c r="G51" s="225"/>
      <c r="H51" s="225"/>
      <c r="I51" s="230"/>
    </row>
    <row r="52" spans="1:9" hidden="1" x14ac:dyDescent="0.25">
      <c r="A52" s="224"/>
      <c r="B52" s="186" t="s">
        <v>100</v>
      </c>
      <c r="C52" s="187">
        <f>H43</f>
        <v>2.5636559054887482</v>
      </c>
      <c r="D52" s="183">
        <v>6</v>
      </c>
      <c r="E52" s="184">
        <f>H42</f>
        <v>490788.125</v>
      </c>
      <c r="F52" s="184">
        <f>H31</f>
        <v>1258211.875</v>
      </c>
      <c r="G52" s="225"/>
      <c r="H52" s="225"/>
      <c r="I52" s="230"/>
    </row>
    <row r="53" spans="1:9" ht="16.5" hidden="1" thickBot="1" x14ac:dyDescent="0.3">
      <c r="A53" s="231"/>
      <c r="B53" s="232" t="s">
        <v>101</v>
      </c>
      <c r="C53" s="233">
        <f>I43</f>
        <v>3.2353744577134549</v>
      </c>
      <c r="D53" s="234">
        <v>7</v>
      </c>
      <c r="E53" s="235">
        <f>I42</f>
        <v>516188.125</v>
      </c>
      <c r="F53" s="235">
        <f>I31</f>
        <v>1670061.875</v>
      </c>
      <c r="G53" s="236"/>
      <c r="H53" s="236"/>
      <c r="I53" s="237"/>
    </row>
  </sheetData>
  <sheetProtection insertRows="0" selectLockedCells="1"/>
  <mergeCells count="4">
    <mergeCell ref="A4:I4"/>
    <mergeCell ref="A8:I8"/>
    <mergeCell ref="A9:I9"/>
    <mergeCell ref="A6:I6"/>
  </mergeCells>
  <dataValidations count="1">
    <dataValidation type="list" allowBlank="1" showInputMessage="1" showErrorMessage="1" sqref="B34">
      <formula1>$B$48:$B$53</formula1>
    </dataValidation>
  </dataValidations>
  <pageMargins left="0.7" right="0.7" top="0.75" bottom="0.75" header="0.3" footer="0.3"/>
  <pageSetup paperSize="17" orientation="landscape" r:id="rId1"/>
  <tableParts count="2">
    <tablePart r:id="rId2"/>
    <tablePart r:id="rId3"/>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1:O6"/>
  <sheetViews>
    <sheetView zoomScale="70" zoomScaleNormal="70" workbookViewId="0">
      <selection activeCell="D30" sqref="D30"/>
    </sheetView>
  </sheetViews>
  <sheetFormatPr defaultColWidth="9.140625" defaultRowHeight="15" x14ac:dyDescent="0.25"/>
  <cols>
    <col min="1" max="1" width="174.28515625" style="24" customWidth="1"/>
    <col min="2" max="16384" width="9.140625" style="24"/>
  </cols>
  <sheetData>
    <row r="1" spans="1:15" s="51" customFormat="1" ht="21" x14ac:dyDescent="0.3">
      <c r="A1" s="537" t="s">
        <v>291</v>
      </c>
      <c r="B1" s="52"/>
      <c r="C1" s="52"/>
      <c r="D1" s="52"/>
      <c r="E1" s="52"/>
      <c r="F1" s="52"/>
      <c r="G1" s="52"/>
      <c r="H1" s="52"/>
      <c r="I1" s="52"/>
      <c r="J1" s="52"/>
      <c r="K1" s="52"/>
      <c r="L1" s="52"/>
      <c r="M1" s="52"/>
      <c r="N1" s="52"/>
      <c r="O1" s="52"/>
    </row>
    <row r="2" spans="1:15" s="51" customFormat="1" ht="18" customHeight="1" x14ac:dyDescent="0.3">
      <c r="A2" s="538" t="s">
        <v>305</v>
      </c>
      <c r="B2" s="52"/>
      <c r="C2" s="52"/>
      <c r="D2" s="52"/>
      <c r="E2" s="52"/>
      <c r="F2" s="52"/>
      <c r="G2" s="52"/>
      <c r="H2" s="52"/>
      <c r="I2" s="52"/>
      <c r="J2" s="52"/>
      <c r="K2" s="52"/>
      <c r="L2" s="52"/>
      <c r="M2" s="52"/>
      <c r="N2" s="52"/>
      <c r="O2" s="52"/>
    </row>
    <row r="3" spans="1:15" s="51" customFormat="1" ht="18" customHeight="1" thickBot="1" x14ac:dyDescent="0.35">
      <c r="A3" s="239"/>
      <c r="B3" s="52"/>
      <c r="C3" s="52"/>
      <c r="D3" s="52"/>
      <c r="E3" s="52"/>
      <c r="F3" s="52"/>
      <c r="G3" s="52"/>
      <c r="H3" s="52"/>
      <c r="I3" s="52"/>
      <c r="J3" s="52"/>
      <c r="K3" s="52"/>
      <c r="L3" s="52"/>
      <c r="M3" s="52"/>
      <c r="N3" s="52"/>
      <c r="O3" s="52"/>
    </row>
    <row r="4" spans="1:15" s="51" customFormat="1" ht="114" customHeight="1" thickTop="1" thickBot="1" x14ac:dyDescent="0.3">
      <c r="A4" s="84" t="s">
        <v>249</v>
      </c>
      <c r="B4" s="60"/>
      <c r="C4" s="60"/>
      <c r="D4" s="60"/>
      <c r="E4" s="60"/>
      <c r="F4" s="60"/>
      <c r="G4" s="60"/>
      <c r="H4" s="60"/>
      <c r="I4" s="60"/>
      <c r="J4" s="60"/>
      <c r="K4" s="60"/>
      <c r="L4" s="60"/>
      <c r="M4" s="60"/>
      <c r="N4" s="60"/>
      <c r="O4" s="60"/>
    </row>
    <row r="5" spans="1:15" ht="15.75" thickTop="1" x14ac:dyDescent="0.25"/>
    <row r="6" spans="1:15" ht="15.75" x14ac:dyDescent="0.25">
      <c r="A6" s="565" t="s">
        <v>481</v>
      </c>
    </row>
  </sheetData>
  <sheetProtection formatCells="0" selectLockedCells="1"/>
  <pageMargins left="0.7" right="0.7" top="0.75" bottom="0.75" header="0.3" footer="0.3"/>
  <pageSetup paperSize="17" orientation="landscape" verticalDpi="0"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H68"/>
  <sheetViews>
    <sheetView zoomScale="70" zoomScaleNormal="70" workbookViewId="0">
      <pane ySplit="11" topLeftCell="A12" activePane="bottomLeft" state="frozen"/>
      <selection pane="bottomLeft"/>
    </sheetView>
  </sheetViews>
  <sheetFormatPr defaultColWidth="9.140625" defaultRowHeight="15.75" x14ac:dyDescent="0.25"/>
  <cols>
    <col min="1" max="1" width="44" style="55" customWidth="1"/>
    <col min="2" max="2" width="20.5703125" style="55" customWidth="1"/>
    <col min="3" max="3" width="58.28515625" style="55" customWidth="1"/>
    <col min="4" max="4" width="54.85546875" style="55" customWidth="1"/>
    <col min="5" max="5" width="16.28515625" style="94" customWidth="1"/>
    <col min="6" max="6" width="9.140625" style="55"/>
    <col min="7" max="7" width="12.42578125" style="55" bestFit="1" customWidth="1"/>
    <col min="8" max="8" width="9.140625" style="55"/>
    <col min="9" max="9" width="13.5703125" style="55" bestFit="1" customWidth="1"/>
    <col min="10" max="10" width="11.28515625" style="55" bestFit="1" customWidth="1"/>
    <col min="11" max="16384" width="9.140625" style="55"/>
  </cols>
  <sheetData>
    <row r="1" spans="1:8" s="133" customFormat="1" ht="21" x14ac:dyDescent="0.25">
      <c r="A1" s="542" t="s">
        <v>291</v>
      </c>
      <c r="B1" s="120"/>
      <c r="C1" s="120"/>
      <c r="D1" s="120"/>
      <c r="E1" s="94"/>
    </row>
    <row r="2" spans="1:8" s="133" customFormat="1" ht="18.75" x14ac:dyDescent="0.25">
      <c r="A2" s="541" t="s">
        <v>148</v>
      </c>
      <c r="B2" s="120"/>
      <c r="C2" s="120"/>
      <c r="D2" s="120"/>
      <c r="E2" s="94"/>
    </row>
    <row r="3" spans="1:8" s="133" customFormat="1" ht="16.5" thickBot="1" x14ac:dyDescent="0.3">
      <c r="A3" s="89"/>
      <c r="B3" s="120"/>
      <c r="C3" s="120"/>
      <c r="D3" s="120"/>
      <c r="E3" s="94"/>
    </row>
    <row r="4" spans="1:8" ht="71.25" customHeight="1" thickTop="1" thickBot="1" x14ac:dyDescent="0.3">
      <c r="A4" s="663" t="s">
        <v>351</v>
      </c>
      <c r="B4" s="664"/>
      <c r="C4" s="664"/>
      <c r="D4" s="665"/>
    </row>
    <row r="5" spans="1:8" s="117" customFormat="1" ht="16.149999999999999" customHeight="1" thickTop="1" x14ac:dyDescent="0.25">
      <c r="A5" s="129"/>
      <c r="B5" s="130"/>
      <c r="C5" s="130"/>
      <c r="D5" s="130"/>
      <c r="E5" s="94"/>
    </row>
    <row r="6" spans="1:8" s="117" customFormat="1" ht="18.75" x14ac:dyDescent="0.3">
      <c r="A6" s="528" t="s">
        <v>272</v>
      </c>
      <c r="B6" s="257"/>
      <c r="C6" s="257"/>
      <c r="D6" s="257"/>
      <c r="E6" s="94"/>
      <c r="F6" s="133"/>
      <c r="G6" s="133"/>
      <c r="H6" s="133"/>
    </row>
    <row r="7" spans="1:8" s="117" customFormat="1" ht="99.75" customHeight="1" x14ac:dyDescent="0.25">
      <c r="A7" s="625" t="s">
        <v>489</v>
      </c>
      <c r="B7" s="625"/>
      <c r="C7" s="625"/>
      <c r="D7" s="625"/>
      <c r="E7" s="94"/>
      <c r="F7" s="133"/>
      <c r="G7" s="133"/>
      <c r="H7" s="133"/>
    </row>
    <row r="8" spans="1:8" s="117" customFormat="1" x14ac:dyDescent="0.25">
      <c r="A8" s="57"/>
      <c r="B8" s="57"/>
      <c r="C8" s="57"/>
      <c r="D8" s="57"/>
      <c r="E8" s="94"/>
      <c r="F8" s="133"/>
      <c r="G8" s="133"/>
      <c r="H8" s="133"/>
    </row>
    <row r="9" spans="1:8" s="133" customFormat="1" x14ac:dyDescent="0.25">
      <c r="A9" s="552" t="s">
        <v>444</v>
      </c>
      <c r="B9" s="120"/>
      <c r="C9" s="120"/>
      <c r="D9" s="120"/>
      <c r="E9" s="94"/>
    </row>
    <row r="10" spans="1:8" s="94" customFormat="1" x14ac:dyDescent="0.25"/>
    <row r="11" spans="1:8" s="250" customFormat="1" x14ac:dyDescent="0.25">
      <c r="A11" s="140" t="s">
        <v>313</v>
      </c>
      <c r="B11" s="141" t="s">
        <v>271</v>
      </c>
      <c r="C11" s="142" t="s">
        <v>293</v>
      </c>
      <c r="D11" s="142" t="s">
        <v>310</v>
      </c>
      <c r="E11" s="94"/>
      <c r="F11" s="218"/>
      <c r="G11" s="218"/>
      <c r="H11" s="218"/>
    </row>
    <row r="12" spans="1:8" ht="47.25" x14ac:dyDescent="0.25">
      <c r="A12" s="479" t="s">
        <v>108</v>
      </c>
      <c r="B12" s="392">
        <v>800000000</v>
      </c>
      <c r="C12" s="407" t="s">
        <v>352</v>
      </c>
      <c r="D12" s="407" t="s">
        <v>306</v>
      </c>
      <c r="F12" s="133"/>
      <c r="G12" s="133"/>
      <c r="H12" s="133"/>
    </row>
    <row r="13" spans="1:8" ht="63" x14ac:dyDescent="0.25">
      <c r="A13" s="480" t="s">
        <v>161</v>
      </c>
      <c r="B13" s="411">
        <v>300</v>
      </c>
      <c r="C13" s="407" t="s">
        <v>353</v>
      </c>
      <c r="D13" s="407" t="s">
        <v>306</v>
      </c>
      <c r="F13" s="133"/>
      <c r="G13" s="133"/>
      <c r="H13" s="133"/>
    </row>
    <row r="14" spans="1:8" ht="110.25" x14ac:dyDescent="0.25">
      <c r="A14" s="445" t="s">
        <v>143</v>
      </c>
      <c r="B14" s="411">
        <v>250</v>
      </c>
      <c r="C14" s="407" t="s">
        <v>354</v>
      </c>
      <c r="D14" s="407" t="s">
        <v>306</v>
      </c>
      <c r="F14" s="133"/>
      <c r="G14" s="133"/>
      <c r="H14" s="133"/>
    </row>
    <row r="15" spans="1:8" ht="126" x14ac:dyDescent="0.25">
      <c r="A15" s="445" t="s">
        <v>116</v>
      </c>
      <c r="B15" s="415">
        <v>0.25</v>
      </c>
      <c r="C15" s="408" t="s">
        <v>355</v>
      </c>
      <c r="D15" s="407" t="s">
        <v>486</v>
      </c>
      <c r="F15" s="133"/>
      <c r="G15" s="133"/>
      <c r="H15" s="133"/>
    </row>
    <row r="16" spans="1:8" x14ac:dyDescent="0.25">
      <c r="A16" s="479" t="s">
        <v>191</v>
      </c>
      <c r="B16" s="413">
        <v>16</v>
      </c>
      <c r="C16" s="407" t="s">
        <v>306</v>
      </c>
      <c r="D16" s="407" t="s">
        <v>306</v>
      </c>
      <c r="F16" s="133"/>
      <c r="G16" s="133"/>
      <c r="H16" s="133"/>
    </row>
    <row r="17" spans="1:8" ht="283.5" x14ac:dyDescent="0.25">
      <c r="A17" s="479" t="s">
        <v>190</v>
      </c>
      <c r="B17" s="413">
        <v>2</v>
      </c>
      <c r="C17" s="407" t="s">
        <v>306</v>
      </c>
      <c r="D17" s="407" t="s">
        <v>357</v>
      </c>
      <c r="F17" s="133"/>
      <c r="G17" s="133"/>
      <c r="H17" s="133"/>
    </row>
    <row r="18" spans="1:8" ht="47.25" x14ac:dyDescent="0.25">
      <c r="A18" s="480" t="s">
        <v>146</v>
      </c>
      <c r="B18" s="392">
        <v>65</v>
      </c>
      <c r="C18" s="407" t="s">
        <v>356</v>
      </c>
      <c r="D18" s="407" t="s">
        <v>306</v>
      </c>
      <c r="F18" s="133"/>
      <c r="G18" s="133"/>
      <c r="H18" s="133"/>
    </row>
    <row r="19" spans="1:8" s="94" customFormat="1" x14ac:dyDescent="0.25"/>
    <row r="25" spans="1:8" s="94" customFormat="1" ht="15" customHeight="1" x14ac:dyDescent="0.25"/>
    <row r="36" s="94" customFormat="1" ht="24" customHeight="1" x14ac:dyDescent="0.25"/>
    <row r="53" spans="1:4" x14ac:dyDescent="0.25">
      <c r="A53" s="243"/>
      <c r="B53" s="133"/>
      <c r="C53" s="133"/>
      <c r="D53" s="54"/>
    </row>
    <row r="54" spans="1:4" x14ac:dyDescent="0.25">
      <c r="A54" s="171"/>
      <c r="B54" s="133"/>
      <c r="C54" s="133"/>
      <c r="D54" s="133"/>
    </row>
    <row r="55" spans="1:4" x14ac:dyDescent="0.25">
      <c r="A55" s="244"/>
      <c r="B55" s="245"/>
      <c r="C55" s="246"/>
      <c r="D55" s="133"/>
    </row>
    <row r="56" spans="1:4" x14ac:dyDescent="0.25">
      <c r="A56" s="171"/>
      <c r="B56" s="133"/>
      <c r="C56" s="133"/>
      <c r="D56" s="133"/>
    </row>
    <row r="57" spans="1:4" x14ac:dyDescent="0.25">
      <c r="A57" s="171"/>
      <c r="B57" s="133"/>
      <c r="C57" s="133"/>
      <c r="D57" s="133"/>
    </row>
    <row r="58" spans="1:4" x14ac:dyDescent="0.25">
      <c r="A58" s="171"/>
      <c r="B58" s="247"/>
      <c r="C58" s="247"/>
      <c r="D58" s="133"/>
    </row>
    <row r="59" spans="1:4" x14ac:dyDescent="0.25">
      <c r="A59" s="171"/>
      <c r="B59" s="248"/>
      <c r="C59" s="248"/>
      <c r="D59" s="133"/>
    </row>
    <row r="60" spans="1:4" x14ac:dyDescent="0.25">
      <c r="A60" s="171"/>
      <c r="B60" s="133"/>
      <c r="C60" s="133"/>
      <c r="D60" s="133"/>
    </row>
    <row r="61" spans="1:4" x14ac:dyDescent="0.25">
      <c r="A61" s="171"/>
      <c r="B61" s="133"/>
      <c r="C61" s="133"/>
      <c r="D61" s="133"/>
    </row>
    <row r="62" spans="1:4" x14ac:dyDescent="0.25">
      <c r="A62" s="171"/>
      <c r="B62" s="133"/>
      <c r="C62" s="167"/>
      <c r="D62" s="133"/>
    </row>
    <row r="63" spans="1:4" x14ac:dyDescent="0.25">
      <c r="A63" s="171"/>
      <c r="B63" s="133"/>
      <c r="C63" s="133"/>
      <c r="D63" s="133"/>
    </row>
    <row r="64" spans="1:4" x14ac:dyDescent="0.25">
      <c r="A64" s="171"/>
      <c r="B64" s="133"/>
      <c r="C64" s="133"/>
      <c r="D64" s="133"/>
    </row>
    <row r="65" spans="1:4" x14ac:dyDescent="0.25">
      <c r="A65" s="145"/>
      <c r="B65" s="145"/>
      <c r="C65" s="145"/>
      <c r="D65" s="145"/>
    </row>
    <row r="66" spans="1:4" x14ac:dyDescent="0.25">
      <c r="A66" s="145"/>
      <c r="B66" s="145"/>
      <c r="C66" s="145"/>
      <c r="D66" s="145"/>
    </row>
    <row r="67" spans="1:4" x14ac:dyDescent="0.25">
      <c r="A67" s="145"/>
      <c r="B67" s="145"/>
      <c r="C67" s="145"/>
      <c r="D67" s="145"/>
    </row>
    <row r="68" spans="1:4" x14ac:dyDescent="0.25">
      <c r="A68" s="145"/>
      <c r="B68" s="145"/>
      <c r="C68" s="145"/>
      <c r="D68" s="145"/>
    </row>
  </sheetData>
  <sheetProtection insertColumns="0" insertRows="0" selectLockedCells="1"/>
  <mergeCells count="2">
    <mergeCell ref="A4:D4"/>
    <mergeCell ref="A7:D7"/>
  </mergeCells>
  <dataValidations disablePrompts="1" count="1">
    <dataValidation allowBlank="1" showErrorMessage="1" sqref="A15"/>
  </dataValidations>
  <pageMargins left="0.7" right="0.7" top="0.75" bottom="0.75" header="0.3" footer="0.3"/>
  <pageSetup paperSize="17" fitToWidth="0" fitToHeight="0" orientation="landscape" verticalDpi="1200" r:id="rId1"/>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2"/>
  <sheetViews>
    <sheetView zoomScale="70" zoomScaleNormal="70" workbookViewId="0">
      <pane ySplit="8" topLeftCell="A9" activePane="bottomLeft" state="frozen"/>
      <selection pane="bottomLeft"/>
    </sheetView>
  </sheetViews>
  <sheetFormatPr defaultColWidth="8.85546875" defaultRowHeight="15.75" x14ac:dyDescent="0.25"/>
  <cols>
    <col min="1" max="1" width="39.5703125" style="94" customWidth="1"/>
    <col min="2" max="2" width="162.140625" style="94" customWidth="1"/>
    <col min="3" max="3" width="170.28515625" style="94" customWidth="1"/>
    <col min="4" max="16384" width="8.85546875" style="94"/>
  </cols>
  <sheetData>
    <row r="1" spans="1:3" s="93" customFormat="1" ht="21" x14ac:dyDescent="0.35">
      <c r="A1" s="519" t="s">
        <v>291</v>
      </c>
    </row>
    <row r="2" spans="1:3" s="93" customFormat="1" ht="18.75" x14ac:dyDescent="0.3">
      <c r="A2" s="518" t="s">
        <v>304</v>
      </c>
    </row>
    <row r="3" spans="1:3" ht="16.5" thickBot="1" x14ac:dyDescent="0.3"/>
    <row r="4" spans="1:3" ht="149.25" customHeight="1" thickTop="1" thickBot="1" x14ac:dyDescent="0.3">
      <c r="A4" s="615" t="s">
        <v>467</v>
      </c>
      <c r="B4" s="616"/>
    </row>
    <row r="5" spans="1:3" ht="18.75" customHeight="1" thickTop="1" x14ac:dyDescent="0.25">
      <c r="C5" s="95"/>
    </row>
    <row r="6" spans="1:3" x14ac:dyDescent="0.25">
      <c r="A6" s="558" t="s">
        <v>242</v>
      </c>
      <c r="B6" s="97"/>
      <c r="C6" s="95"/>
    </row>
    <row r="7" spans="1:3" x14ac:dyDescent="0.25">
      <c r="A7" s="96"/>
      <c r="B7" s="97"/>
      <c r="C7" s="95"/>
    </row>
    <row r="8" spans="1:3" x14ac:dyDescent="0.25">
      <c r="A8" s="140" t="s">
        <v>240</v>
      </c>
      <c r="B8" s="142" t="s">
        <v>127</v>
      </c>
      <c r="C8" s="95"/>
    </row>
    <row r="9" spans="1:3" s="101" customFormat="1" ht="74.25" customHeight="1" x14ac:dyDescent="0.25">
      <c r="A9" s="98" t="s">
        <v>237</v>
      </c>
      <c r="B9" s="99" t="s">
        <v>325</v>
      </c>
      <c r="C9" s="100"/>
    </row>
    <row r="10" spans="1:3" ht="51" customHeight="1" x14ac:dyDescent="0.3">
      <c r="A10" s="98" t="s">
        <v>238</v>
      </c>
      <c r="B10" s="102" t="s">
        <v>326</v>
      </c>
      <c r="C10" s="518"/>
    </row>
    <row r="11" spans="1:3" ht="20.25" customHeight="1" x14ac:dyDescent="0.25">
      <c r="A11" s="98" t="s">
        <v>239</v>
      </c>
      <c r="B11" s="103" t="s">
        <v>241</v>
      </c>
    </row>
    <row r="12" spans="1:3" ht="16.5" customHeight="1" x14ac:dyDescent="0.25">
      <c r="B12" s="104" t="s">
        <v>228</v>
      </c>
    </row>
  </sheetData>
  <mergeCells count="1">
    <mergeCell ref="A4:B4"/>
  </mergeCells>
  <pageMargins left="0.7" right="0.7" top="0.75" bottom="0.75" header="0.3" footer="0.3"/>
  <pageSetup paperSize="17" scale="95" orientation="landscape" verticalDpi="0" r:id="rId1"/>
  <tableParts count="1">
    <tablePart r:id="rId2"/>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Q13"/>
  <sheetViews>
    <sheetView zoomScale="70" zoomScaleNormal="70" workbookViewId="0">
      <pane ySplit="11" topLeftCell="A12" activePane="bottomLeft" state="frozen"/>
      <selection pane="bottomLeft"/>
    </sheetView>
  </sheetViews>
  <sheetFormatPr defaultRowHeight="15" x14ac:dyDescent="0.25"/>
  <cols>
    <col min="1" max="1" width="36.7109375" customWidth="1"/>
    <col min="2" max="2" width="51.5703125" customWidth="1"/>
    <col min="3" max="3" width="21.85546875" customWidth="1"/>
    <col min="4" max="10" width="17.85546875" customWidth="1"/>
  </cols>
  <sheetData>
    <row r="1" spans="1:17" ht="21" x14ac:dyDescent="0.25">
      <c r="A1" s="542" t="s">
        <v>291</v>
      </c>
      <c r="B1" s="120"/>
      <c r="C1" s="120"/>
      <c r="D1" s="120"/>
      <c r="E1" s="120"/>
      <c r="F1" s="120"/>
      <c r="G1" s="120"/>
      <c r="H1" s="120"/>
      <c r="I1" s="120"/>
      <c r="J1" s="120"/>
    </row>
    <row r="2" spans="1:17" ht="18.75" x14ac:dyDescent="0.25">
      <c r="A2" s="541" t="s">
        <v>148</v>
      </c>
      <c r="B2" s="120"/>
      <c r="C2" s="120"/>
      <c r="D2" s="120"/>
      <c r="E2" s="120"/>
      <c r="F2" s="120"/>
      <c r="G2" s="120"/>
      <c r="H2" s="120"/>
      <c r="I2" s="120"/>
      <c r="J2" s="120"/>
    </row>
    <row r="3" spans="1:17" ht="16.5" thickBot="1" x14ac:dyDescent="0.3">
      <c r="A3" s="89"/>
      <c r="B3" s="120"/>
      <c r="C3" s="120"/>
      <c r="D3" s="120"/>
      <c r="E3" s="120"/>
      <c r="F3" s="120"/>
      <c r="G3" s="120"/>
      <c r="H3" s="120"/>
      <c r="I3" s="120"/>
      <c r="J3" s="120"/>
    </row>
    <row r="4" spans="1:17" ht="69.75" customHeight="1" thickTop="1" thickBot="1" x14ac:dyDescent="0.3">
      <c r="A4" s="663" t="s">
        <v>351</v>
      </c>
      <c r="B4" s="664"/>
      <c r="C4" s="664"/>
      <c r="D4" s="664"/>
      <c r="E4" s="664"/>
      <c r="F4" s="664"/>
      <c r="G4" s="664"/>
      <c r="H4" s="664"/>
      <c r="I4" s="664"/>
      <c r="J4" s="665"/>
    </row>
    <row r="5" spans="1:17" ht="15.75" thickTop="1" x14ac:dyDescent="0.25"/>
    <row r="6" spans="1:17" ht="18.75" x14ac:dyDescent="0.3">
      <c r="A6" s="528" t="s">
        <v>272</v>
      </c>
      <c r="B6" s="311"/>
      <c r="C6" s="311"/>
      <c r="D6" s="311"/>
      <c r="E6" s="311"/>
      <c r="F6" s="311"/>
      <c r="G6" s="311"/>
      <c r="H6" s="311"/>
      <c r="I6" s="311"/>
      <c r="J6" s="311"/>
    </row>
    <row r="7" spans="1:17" ht="86.25" customHeight="1" x14ac:dyDescent="0.25">
      <c r="A7" s="666" t="s">
        <v>488</v>
      </c>
      <c r="B7" s="666"/>
      <c r="C7" s="666"/>
      <c r="D7" s="666"/>
      <c r="E7" s="666"/>
      <c r="F7" s="666"/>
      <c r="G7" s="666"/>
      <c r="H7" s="666"/>
      <c r="I7" s="666"/>
      <c r="J7" s="666"/>
    </row>
    <row r="9" spans="1:17" s="117" customFormat="1" ht="15.75" x14ac:dyDescent="0.25">
      <c r="A9" s="553" t="s">
        <v>497</v>
      </c>
      <c r="B9" s="120"/>
      <c r="C9" s="120"/>
      <c r="D9" s="120"/>
      <c r="E9" s="138"/>
      <c r="F9" s="138"/>
      <c r="G9" s="138"/>
      <c r="H9" s="138"/>
      <c r="I9" s="138"/>
      <c r="J9" s="138"/>
      <c r="K9" s="94"/>
      <c r="L9" s="57"/>
      <c r="M9" s="57"/>
      <c r="N9" s="57"/>
      <c r="O9" s="57"/>
      <c r="P9" s="57"/>
      <c r="Q9" s="57"/>
    </row>
    <row r="10" spans="1:17" s="117" customFormat="1" ht="15.75" x14ac:dyDescent="0.25">
      <c r="A10" s="169"/>
      <c r="B10" s="138"/>
      <c r="C10" s="169"/>
      <c r="D10" s="177"/>
      <c r="E10" s="170"/>
      <c r="F10" s="138"/>
      <c r="G10" s="138"/>
      <c r="H10" s="138"/>
      <c r="I10" s="138"/>
      <c r="J10" s="138"/>
      <c r="K10" s="94"/>
      <c r="L10" s="57"/>
      <c r="M10" s="57"/>
      <c r="N10" s="57"/>
      <c r="O10" s="57"/>
      <c r="P10" s="57"/>
      <c r="Q10" s="57"/>
    </row>
    <row r="11" spans="1:17" s="55" customFormat="1" ht="47.25" x14ac:dyDescent="0.25">
      <c r="A11" s="352" t="s">
        <v>311</v>
      </c>
      <c r="B11" s="140" t="s">
        <v>312</v>
      </c>
      <c r="C11" s="156" t="s">
        <v>264</v>
      </c>
      <c r="D11" s="156" t="s">
        <v>315</v>
      </c>
      <c r="E11" s="141" t="s">
        <v>316</v>
      </c>
      <c r="F11" s="141" t="s">
        <v>317</v>
      </c>
      <c r="G11" s="141" t="s">
        <v>318</v>
      </c>
      <c r="H11" s="141" t="s">
        <v>319</v>
      </c>
      <c r="I11" s="141" t="s">
        <v>320</v>
      </c>
      <c r="J11" s="353" t="s">
        <v>321</v>
      </c>
      <c r="K11" s="94"/>
      <c r="L11" s="61"/>
      <c r="M11" s="61"/>
      <c r="N11" s="61"/>
      <c r="O11" s="61"/>
    </row>
    <row r="12" spans="1:17" s="55" customFormat="1" ht="94.5" x14ac:dyDescent="0.25">
      <c r="A12" s="434" t="s">
        <v>76</v>
      </c>
      <c r="B12" s="406" t="s">
        <v>358</v>
      </c>
      <c r="C12" s="401">
        <f>PRODUCT('Dig Review - Inputs 1'!B14:B15)</f>
        <v>62.5</v>
      </c>
      <c r="D12" s="398">
        <v>0</v>
      </c>
      <c r="E12" s="398">
        <v>0.5</v>
      </c>
      <c r="F12" s="398">
        <v>1</v>
      </c>
      <c r="G12" s="400">
        <v>1</v>
      </c>
      <c r="H12" s="398">
        <v>1</v>
      </c>
      <c r="I12" s="398">
        <v>1</v>
      </c>
      <c r="J12" s="398">
        <v>1</v>
      </c>
      <c r="K12" s="94"/>
      <c r="L12" s="61"/>
      <c r="M12" s="61"/>
      <c r="N12" s="61"/>
      <c r="O12" s="61"/>
    </row>
    <row r="13" spans="1:17" s="55" customFormat="1" ht="94.5" x14ac:dyDescent="0.25">
      <c r="A13" s="433" t="s">
        <v>77</v>
      </c>
      <c r="B13" s="406" t="s">
        <v>359</v>
      </c>
      <c r="C13" s="401">
        <f>'Dig Review - Inputs 1'!B16*'Dig Review - Inputs 1'!B17*'Dig Review - Inputs 1'!B18*'Dig Review - Inputs 1'!B13</f>
        <v>624000</v>
      </c>
      <c r="D13" s="398">
        <v>0</v>
      </c>
      <c r="E13" s="398">
        <v>0.5</v>
      </c>
      <c r="F13" s="398">
        <v>1</v>
      </c>
      <c r="G13" s="400">
        <v>1</v>
      </c>
      <c r="H13" s="398">
        <v>1</v>
      </c>
      <c r="I13" s="398">
        <v>1</v>
      </c>
      <c r="J13" s="398">
        <v>1</v>
      </c>
      <c r="K13" s="94"/>
      <c r="M13" s="58"/>
      <c r="N13" s="58"/>
      <c r="O13" s="20"/>
    </row>
  </sheetData>
  <mergeCells count="2">
    <mergeCell ref="A4:J4"/>
    <mergeCell ref="A7:J7"/>
  </mergeCells>
  <pageMargins left="0.7" right="0.7" top="0.75" bottom="0.75" header="0.3" footer="0.3"/>
  <pageSetup paperSize="17" scale="80" orientation="landscape" verticalDpi="0" r:id="rId1"/>
  <tableParts count="1">
    <tablePart r:id="rId2"/>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L15"/>
  <sheetViews>
    <sheetView zoomScale="70" zoomScaleNormal="70" workbookViewId="0">
      <pane ySplit="11" topLeftCell="A12" activePane="bottomLeft" state="frozen"/>
      <selection pane="bottomLeft"/>
    </sheetView>
  </sheetViews>
  <sheetFormatPr defaultRowHeight="15" x14ac:dyDescent="0.25"/>
  <cols>
    <col min="1" max="1" width="35.140625" customWidth="1"/>
    <col min="2" max="2" width="25.42578125" customWidth="1"/>
    <col min="3" max="3" width="24.42578125" customWidth="1"/>
    <col min="4" max="4" width="27.7109375" customWidth="1"/>
    <col min="5" max="5" width="28.140625" customWidth="1"/>
    <col min="6" max="6" width="64" customWidth="1"/>
  </cols>
  <sheetData>
    <row r="1" spans="1:12" ht="21" x14ac:dyDescent="0.25">
      <c r="A1" s="542" t="s">
        <v>291</v>
      </c>
      <c r="B1" s="120"/>
      <c r="C1" s="120"/>
      <c r="D1" s="120"/>
      <c r="E1" s="120"/>
      <c r="F1" s="120"/>
    </row>
    <row r="2" spans="1:12" ht="18.75" x14ac:dyDescent="0.25">
      <c r="A2" s="541" t="s">
        <v>148</v>
      </c>
      <c r="B2" s="120"/>
      <c r="C2" s="120"/>
      <c r="D2" s="120"/>
      <c r="E2" s="120"/>
      <c r="F2" s="120"/>
    </row>
    <row r="3" spans="1:12" ht="16.5" thickBot="1" x14ac:dyDescent="0.3">
      <c r="A3" s="89"/>
      <c r="B3" s="120"/>
      <c r="C3" s="120"/>
      <c r="D3" s="120"/>
      <c r="E3" s="120"/>
      <c r="F3" s="120"/>
    </row>
    <row r="4" spans="1:12" ht="78.599999999999994" customHeight="1" thickTop="1" thickBot="1" x14ac:dyDescent="0.3">
      <c r="A4" s="663" t="s">
        <v>351</v>
      </c>
      <c r="B4" s="664"/>
      <c r="C4" s="664"/>
      <c r="D4" s="664"/>
      <c r="E4" s="664"/>
      <c r="F4" s="665"/>
    </row>
    <row r="5" spans="1:12" ht="15.75" thickTop="1" x14ac:dyDescent="0.25"/>
    <row r="6" spans="1:12" s="55" customFormat="1" ht="18.75" x14ac:dyDescent="0.3">
      <c r="A6" s="529" t="s">
        <v>60</v>
      </c>
      <c r="B6" s="320"/>
      <c r="C6" s="320"/>
      <c r="D6" s="320"/>
      <c r="E6" s="320"/>
      <c r="F6" s="321"/>
      <c r="G6" s="94"/>
      <c r="H6" s="117"/>
    </row>
    <row r="7" spans="1:12" s="94" customFormat="1" ht="215.25" customHeight="1" x14ac:dyDescent="0.25">
      <c r="A7" s="667" t="s">
        <v>487</v>
      </c>
      <c r="B7" s="668"/>
      <c r="C7" s="668"/>
      <c r="D7" s="668"/>
      <c r="E7" s="668"/>
      <c r="F7" s="669"/>
    </row>
    <row r="8" spans="1:12" s="94" customFormat="1" ht="15.75" x14ac:dyDescent="0.25">
      <c r="A8" s="254"/>
      <c r="B8" s="254"/>
      <c r="C8" s="254"/>
      <c r="D8" s="254"/>
      <c r="E8" s="254"/>
      <c r="F8" s="254"/>
    </row>
    <row r="9" spans="1:12" s="94" customFormat="1" ht="15.75" x14ac:dyDescent="0.25">
      <c r="A9" s="545" t="s">
        <v>498</v>
      </c>
      <c r="B9" s="153"/>
      <c r="C9" s="153"/>
      <c r="D9" s="153"/>
      <c r="E9" s="153"/>
      <c r="F9" s="153"/>
    </row>
    <row r="10" spans="1:12" s="94" customFormat="1" ht="15.75" x14ac:dyDescent="0.25">
      <c r="A10" s="138"/>
      <c r="B10" s="138"/>
      <c r="C10" s="138"/>
      <c r="D10" s="138"/>
      <c r="E10" s="138"/>
      <c r="F10" s="138"/>
    </row>
    <row r="11" spans="1:12" s="55" customFormat="1" ht="15.75" x14ac:dyDescent="0.25">
      <c r="A11" s="360" t="s">
        <v>295</v>
      </c>
      <c r="B11" s="349" t="s">
        <v>296</v>
      </c>
      <c r="C11" s="349" t="s">
        <v>297</v>
      </c>
      <c r="D11" s="349" t="s">
        <v>298</v>
      </c>
      <c r="E11" s="349" t="s">
        <v>299</v>
      </c>
      <c r="F11" s="358" t="s">
        <v>280</v>
      </c>
      <c r="G11" s="94"/>
    </row>
    <row r="12" spans="1:12" s="55" customFormat="1" ht="26.25" customHeight="1" x14ac:dyDescent="0.25">
      <c r="A12" s="471" t="s">
        <v>103</v>
      </c>
      <c r="B12" s="472">
        <f>3/12</f>
        <v>0.25</v>
      </c>
      <c r="C12" s="473">
        <v>0.4</v>
      </c>
      <c r="D12" s="474">
        <v>75000</v>
      </c>
      <c r="E12" s="475">
        <v>0.8</v>
      </c>
      <c r="F12" s="478">
        <f>B12*C12*(D12*(1+E12))</f>
        <v>13500</v>
      </c>
      <c r="G12" s="94"/>
    </row>
    <row r="13" spans="1:12" s="55" customFormat="1" ht="21.75" customHeight="1" x14ac:dyDescent="0.25">
      <c r="A13" s="476" t="s">
        <v>192</v>
      </c>
      <c r="B13" s="472">
        <v>1</v>
      </c>
      <c r="C13" s="477">
        <v>0.05</v>
      </c>
      <c r="D13" s="474">
        <v>75000</v>
      </c>
      <c r="E13" s="475">
        <v>0.8</v>
      </c>
      <c r="F13" s="478">
        <f>B13*C13*(D13*(1+E13))</f>
        <v>6750</v>
      </c>
      <c r="G13" s="94"/>
    </row>
    <row r="14" spans="1:12" s="55" customFormat="1" ht="24" customHeight="1" x14ac:dyDescent="0.25">
      <c r="A14" s="476" t="s">
        <v>152</v>
      </c>
      <c r="B14" s="449" t="s">
        <v>306</v>
      </c>
      <c r="C14" s="449" t="s">
        <v>306</v>
      </c>
      <c r="D14" s="449" t="s">
        <v>306</v>
      </c>
      <c r="E14" s="449" t="s">
        <v>306</v>
      </c>
      <c r="F14" s="478">
        <f>F12</f>
        <v>13500</v>
      </c>
      <c r="G14" s="94"/>
      <c r="L14" s="240"/>
    </row>
    <row r="15" spans="1:12" s="55" customFormat="1" ht="24.75" customHeight="1" x14ac:dyDescent="0.25">
      <c r="A15" s="476" t="s">
        <v>153</v>
      </c>
      <c r="B15" s="449" t="s">
        <v>306</v>
      </c>
      <c r="C15" s="449" t="s">
        <v>306</v>
      </c>
      <c r="D15" s="449" t="s">
        <v>306</v>
      </c>
      <c r="E15" s="449" t="s">
        <v>306</v>
      </c>
      <c r="F15" s="478">
        <f>F13</f>
        <v>6750</v>
      </c>
      <c r="G15" s="94"/>
    </row>
  </sheetData>
  <mergeCells count="2">
    <mergeCell ref="A4:F4"/>
    <mergeCell ref="A7:F7"/>
  </mergeCells>
  <pageMargins left="0.7" right="0.7" top="0.75" bottom="0.75" header="0.3" footer="0.3"/>
  <pageSetup paperSize="17" scale="95" orientation="landscape" verticalDpi="0" r:id="rId1"/>
  <tableParts count="1">
    <tablePart r:id="rId2"/>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S24"/>
  <sheetViews>
    <sheetView zoomScale="70" zoomScaleNormal="70" workbookViewId="0">
      <pane ySplit="11" topLeftCell="A12" activePane="bottomLeft" state="frozen"/>
      <selection pane="bottomLeft"/>
    </sheetView>
  </sheetViews>
  <sheetFormatPr defaultRowHeight="15" x14ac:dyDescent="0.25"/>
  <cols>
    <col min="1" max="1" width="51" customWidth="1"/>
    <col min="2" max="2" width="51.85546875" customWidth="1"/>
    <col min="3" max="10" width="18.42578125" customWidth="1"/>
  </cols>
  <sheetData>
    <row r="1" spans="1:19" ht="21" x14ac:dyDescent="0.25">
      <c r="A1" s="542" t="s">
        <v>291</v>
      </c>
      <c r="B1" s="120"/>
      <c r="C1" s="120"/>
      <c r="D1" s="120"/>
      <c r="E1" s="120"/>
      <c r="F1" s="120"/>
      <c r="G1" s="120"/>
      <c r="H1" s="120"/>
      <c r="I1" s="120"/>
      <c r="J1" s="120"/>
    </row>
    <row r="2" spans="1:19" ht="18.75" x14ac:dyDescent="0.25">
      <c r="A2" s="541" t="s">
        <v>148</v>
      </c>
      <c r="B2" s="120"/>
      <c r="C2" s="120"/>
      <c r="D2" s="120"/>
      <c r="E2" s="120"/>
      <c r="F2" s="120"/>
      <c r="G2" s="120"/>
      <c r="H2" s="120"/>
      <c r="I2" s="120"/>
      <c r="J2" s="120"/>
    </row>
    <row r="3" spans="1:19" ht="16.5" thickBot="1" x14ac:dyDescent="0.3">
      <c r="A3" s="89"/>
      <c r="B3" s="120"/>
      <c r="C3" s="120"/>
      <c r="D3" s="120"/>
      <c r="E3" s="120"/>
      <c r="F3" s="120"/>
      <c r="G3" s="120"/>
      <c r="H3" s="120"/>
      <c r="I3" s="120"/>
      <c r="J3" s="120"/>
    </row>
    <row r="4" spans="1:19" ht="69" customHeight="1" thickTop="1" thickBot="1" x14ac:dyDescent="0.3">
      <c r="A4" s="663" t="s">
        <v>351</v>
      </c>
      <c r="B4" s="664"/>
      <c r="C4" s="664"/>
      <c r="D4" s="664"/>
      <c r="E4" s="664"/>
      <c r="F4" s="664"/>
      <c r="G4" s="664"/>
      <c r="H4" s="664"/>
      <c r="I4" s="664"/>
      <c r="J4" s="665"/>
    </row>
    <row r="5" spans="1:19" ht="15.75" thickTop="1" x14ac:dyDescent="0.25"/>
    <row r="6" spans="1:19" ht="18.75" x14ac:dyDescent="0.3">
      <c r="A6" s="529" t="s">
        <v>60</v>
      </c>
      <c r="B6" s="251"/>
      <c r="C6" s="251"/>
      <c r="D6" s="251"/>
      <c r="E6" s="251"/>
      <c r="F6" s="251"/>
      <c r="G6" s="251"/>
      <c r="H6" s="251"/>
      <c r="I6" s="251"/>
      <c r="J6" s="251"/>
    </row>
    <row r="7" spans="1:19" ht="117" customHeight="1" x14ac:dyDescent="0.25">
      <c r="A7" s="667" t="s">
        <v>499</v>
      </c>
      <c r="B7" s="668"/>
      <c r="C7" s="668"/>
      <c r="D7" s="668"/>
      <c r="E7" s="668"/>
      <c r="F7" s="668"/>
      <c r="G7" s="668"/>
      <c r="H7" s="668"/>
      <c r="I7" s="668"/>
      <c r="J7" s="669"/>
    </row>
    <row r="9" spans="1:19" s="55" customFormat="1" ht="15.75" x14ac:dyDescent="0.25">
      <c r="A9" s="546" t="s">
        <v>453</v>
      </c>
      <c r="B9" s="151"/>
      <c r="C9" s="151"/>
      <c r="D9" s="151"/>
      <c r="E9" s="151"/>
      <c r="F9" s="151"/>
      <c r="G9" s="151"/>
      <c r="H9" s="151"/>
      <c r="I9" s="151"/>
      <c r="J9" s="151"/>
      <c r="K9" s="94"/>
    </row>
    <row r="10" spans="1:19" s="55" customFormat="1" ht="15" customHeight="1" x14ac:dyDescent="0.25">
      <c r="A10" s="138"/>
      <c r="B10" s="169"/>
      <c r="C10" s="138"/>
      <c r="D10" s="169"/>
      <c r="E10" s="169"/>
      <c r="F10" s="169"/>
      <c r="G10" s="169"/>
      <c r="H10" s="169"/>
      <c r="I10" s="169"/>
      <c r="J10" s="169"/>
      <c r="K10" s="94"/>
    </row>
    <row r="11" spans="1:19" s="250" customFormat="1" ht="31.5" x14ac:dyDescent="0.25">
      <c r="A11" s="361" t="s">
        <v>294</v>
      </c>
      <c r="B11" s="362" t="s">
        <v>293</v>
      </c>
      <c r="C11" s="363" t="s">
        <v>273</v>
      </c>
      <c r="D11" s="364" t="s">
        <v>283</v>
      </c>
      <c r="E11" s="365" t="s">
        <v>284</v>
      </c>
      <c r="F11" s="365" t="s">
        <v>285</v>
      </c>
      <c r="G11" s="365" t="s">
        <v>286</v>
      </c>
      <c r="H11" s="365" t="s">
        <v>462</v>
      </c>
      <c r="I11" s="365" t="s">
        <v>287</v>
      </c>
      <c r="J11" s="366" t="s">
        <v>288</v>
      </c>
      <c r="K11" s="258"/>
      <c r="L11" s="256"/>
      <c r="M11" s="256"/>
      <c r="N11" s="256"/>
      <c r="O11" s="256"/>
      <c r="R11" s="256"/>
      <c r="S11" s="256"/>
    </row>
    <row r="12" spans="1:19" s="55" customFormat="1" ht="30.75" customHeight="1" x14ac:dyDescent="0.25">
      <c r="A12" s="404" t="s">
        <v>50</v>
      </c>
      <c r="B12" s="469" t="s">
        <v>306</v>
      </c>
      <c r="C12" s="389">
        <f t="shared" ref="C12:C24" si="0">SUM(D12:J12)</f>
        <v>50000</v>
      </c>
      <c r="D12" s="467">
        <v>50000</v>
      </c>
      <c r="E12" s="467">
        <v>0</v>
      </c>
      <c r="F12" s="467">
        <v>0</v>
      </c>
      <c r="G12" s="467">
        <v>0</v>
      </c>
      <c r="H12" s="467">
        <v>0</v>
      </c>
      <c r="I12" s="467">
        <v>0</v>
      </c>
      <c r="J12" s="467">
        <v>0</v>
      </c>
      <c r="K12" s="94"/>
      <c r="L12" s="20"/>
      <c r="M12" s="20"/>
      <c r="N12" s="20"/>
      <c r="O12" s="241"/>
      <c r="R12" s="20"/>
      <c r="S12" s="20"/>
    </row>
    <row r="13" spans="1:19" s="55" customFormat="1" ht="35.25" customHeight="1" x14ac:dyDescent="0.25">
      <c r="A13" s="412" t="s">
        <v>51</v>
      </c>
      <c r="B13" s="402" t="s">
        <v>360</v>
      </c>
      <c r="C13" s="389">
        <f t="shared" si="0"/>
        <v>98000</v>
      </c>
      <c r="D13" s="468">
        <f>1000*12+10*200</f>
        <v>14000</v>
      </c>
      <c r="E13" s="468">
        <f t="shared" ref="E13:J13" si="1">D13</f>
        <v>14000</v>
      </c>
      <c r="F13" s="468">
        <f t="shared" si="1"/>
        <v>14000</v>
      </c>
      <c r="G13" s="468">
        <f t="shared" si="1"/>
        <v>14000</v>
      </c>
      <c r="H13" s="468">
        <f t="shared" si="1"/>
        <v>14000</v>
      </c>
      <c r="I13" s="468">
        <f t="shared" si="1"/>
        <v>14000</v>
      </c>
      <c r="J13" s="468">
        <f t="shared" si="1"/>
        <v>14000</v>
      </c>
      <c r="K13" s="94"/>
      <c r="M13" s="20"/>
      <c r="N13" s="20"/>
      <c r="O13" s="20"/>
      <c r="R13" s="20"/>
      <c r="S13" s="20"/>
    </row>
    <row r="14" spans="1:19" s="55" customFormat="1" ht="47.25" x14ac:dyDescent="0.25">
      <c r="A14" s="404" t="s">
        <v>52</v>
      </c>
      <c r="B14" s="402" t="s">
        <v>361</v>
      </c>
      <c r="C14" s="389">
        <f t="shared" si="0"/>
        <v>0</v>
      </c>
      <c r="D14" s="467">
        <v>0</v>
      </c>
      <c r="E14" s="467">
        <v>0</v>
      </c>
      <c r="F14" s="467">
        <v>0</v>
      </c>
      <c r="G14" s="467">
        <v>0</v>
      </c>
      <c r="H14" s="467">
        <v>0</v>
      </c>
      <c r="I14" s="467">
        <v>0</v>
      </c>
      <c r="J14" s="467">
        <v>0</v>
      </c>
      <c r="K14" s="94"/>
      <c r="L14" s="174"/>
      <c r="M14" s="174"/>
      <c r="N14" s="174"/>
      <c r="O14" s="174"/>
      <c r="R14" s="174"/>
      <c r="S14" s="174"/>
    </row>
    <row r="15" spans="1:19" s="55" customFormat="1" ht="16.149999999999999" customHeight="1" x14ac:dyDescent="0.25">
      <c r="A15" s="404" t="s">
        <v>53</v>
      </c>
      <c r="B15" s="470" t="s">
        <v>306</v>
      </c>
      <c r="C15" s="389">
        <f t="shared" si="0"/>
        <v>0</v>
      </c>
      <c r="D15" s="467">
        <v>0</v>
      </c>
      <c r="E15" s="467">
        <v>0</v>
      </c>
      <c r="F15" s="467">
        <v>0</v>
      </c>
      <c r="G15" s="467">
        <v>0</v>
      </c>
      <c r="H15" s="467">
        <v>0</v>
      </c>
      <c r="I15" s="467">
        <v>0</v>
      </c>
      <c r="J15" s="467">
        <v>0</v>
      </c>
      <c r="K15" s="94"/>
      <c r="L15" s="20"/>
      <c r="M15" s="20"/>
      <c r="N15" s="20"/>
      <c r="O15" s="20"/>
      <c r="R15" s="20"/>
      <c r="S15" s="20"/>
    </row>
    <row r="16" spans="1:19" s="55" customFormat="1" ht="19.149999999999999" customHeight="1" x14ac:dyDescent="0.25">
      <c r="A16" s="404" t="s">
        <v>54</v>
      </c>
      <c r="B16" s="470" t="s">
        <v>306</v>
      </c>
      <c r="C16" s="389">
        <f t="shared" si="0"/>
        <v>0</v>
      </c>
      <c r="D16" s="467">
        <v>0</v>
      </c>
      <c r="E16" s="467">
        <v>0</v>
      </c>
      <c r="F16" s="467">
        <v>0</v>
      </c>
      <c r="G16" s="467">
        <v>0</v>
      </c>
      <c r="H16" s="467">
        <v>0</v>
      </c>
      <c r="I16" s="467">
        <v>0</v>
      </c>
      <c r="J16" s="467">
        <v>0</v>
      </c>
      <c r="K16" s="94"/>
      <c r="L16" s="20"/>
      <c r="M16" s="20"/>
      <c r="N16" s="20"/>
      <c r="O16" s="20"/>
      <c r="R16" s="20"/>
      <c r="S16" s="20"/>
    </row>
    <row r="17" spans="1:19" s="55" customFormat="1" ht="18" customHeight="1" x14ac:dyDescent="0.25">
      <c r="A17" s="404" t="s">
        <v>55</v>
      </c>
      <c r="B17" s="470" t="s">
        <v>306</v>
      </c>
      <c r="C17" s="389">
        <f t="shared" si="0"/>
        <v>0</v>
      </c>
      <c r="D17" s="467">
        <v>0</v>
      </c>
      <c r="E17" s="467"/>
      <c r="F17" s="467"/>
      <c r="G17" s="467"/>
      <c r="H17" s="467"/>
      <c r="I17" s="467"/>
      <c r="J17" s="467"/>
      <c r="K17" s="94"/>
      <c r="L17" s="20"/>
      <c r="M17" s="20"/>
      <c r="N17" s="20"/>
      <c r="O17" s="20"/>
      <c r="R17" s="175"/>
      <c r="S17" s="175"/>
    </row>
    <row r="18" spans="1:19" s="55" customFormat="1" ht="16.899999999999999" customHeight="1" x14ac:dyDescent="0.25">
      <c r="A18" s="404" t="s">
        <v>56</v>
      </c>
      <c r="B18" s="470" t="s">
        <v>306</v>
      </c>
      <c r="C18" s="389">
        <f t="shared" si="0"/>
        <v>0</v>
      </c>
      <c r="D18" s="467">
        <v>0</v>
      </c>
      <c r="E18" s="467">
        <v>0</v>
      </c>
      <c r="F18" s="467">
        <v>0</v>
      </c>
      <c r="G18" s="467">
        <v>0</v>
      </c>
      <c r="H18" s="467">
        <v>0</v>
      </c>
      <c r="I18" s="467">
        <v>0</v>
      </c>
      <c r="J18" s="467">
        <v>0</v>
      </c>
      <c r="K18" s="94"/>
      <c r="L18" s="174"/>
      <c r="M18" s="174"/>
      <c r="N18" s="174"/>
      <c r="O18" s="174"/>
      <c r="R18" s="174"/>
      <c r="S18" s="174"/>
    </row>
    <row r="19" spans="1:19" s="55" customFormat="1" ht="20.45" customHeight="1" x14ac:dyDescent="0.25">
      <c r="A19" s="404" t="s">
        <v>78</v>
      </c>
      <c r="B19" s="470" t="s">
        <v>362</v>
      </c>
      <c r="C19" s="389">
        <f t="shared" si="0"/>
        <v>25000</v>
      </c>
      <c r="D19" s="467">
        <f>250*100</f>
        <v>25000</v>
      </c>
      <c r="E19" s="467">
        <v>0</v>
      </c>
      <c r="F19" s="467">
        <v>0</v>
      </c>
      <c r="G19" s="467">
        <v>0</v>
      </c>
      <c r="H19" s="467">
        <v>0</v>
      </c>
      <c r="I19" s="467">
        <v>0</v>
      </c>
      <c r="J19" s="467">
        <v>0</v>
      </c>
      <c r="K19" s="94"/>
      <c r="L19" s="20"/>
      <c r="M19" s="20"/>
      <c r="N19" s="20"/>
      <c r="O19" s="20"/>
      <c r="R19" s="20"/>
      <c r="S19" s="20"/>
    </row>
    <row r="20" spans="1:19" s="55" customFormat="1" ht="16.899999999999999" customHeight="1" x14ac:dyDescent="0.25">
      <c r="A20" s="404" t="s">
        <v>151</v>
      </c>
      <c r="B20" s="470" t="s">
        <v>306</v>
      </c>
      <c r="C20" s="389">
        <f t="shared" si="0"/>
        <v>0</v>
      </c>
      <c r="D20" s="467">
        <v>0</v>
      </c>
      <c r="E20" s="467">
        <v>0</v>
      </c>
      <c r="F20" s="467">
        <v>0</v>
      </c>
      <c r="G20" s="467">
        <v>0</v>
      </c>
      <c r="H20" s="467">
        <v>0</v>
      </c>
      <c r="I20" s="467">
        <v>0</v>
      </c>
      <c r="J20" s="467">
        <v>0</v>
      </c>
      <c r="K20" s="94"/>
      <c r="L20" s="20"/>
      <c r="M20" s="20"/>
      <c r="N20" s="20"/>
      <c r="O20" s="20"/>
      <c r="R20" s="175"/>
      <c r="S20" s="175"/>
    </row>
    <row r="21" spans="1:19" s="55" customFormat="1" ht="19.899999999999999" customHeight="1" x14ac:dyDescent="0.25">
      <c r="A21" s="404" t="s">
        <v>57</v>
      </c>
      <c r="B21" s="402" t="s">
        <v>363</v>
      </c>
      <c r="C21" s="389">
        <f t="shared" si="0"/>
        <v>13500</v>
      </c>
      <c r="D21" s="467">
        <f>'Dig Review - Inputs 3'!F12</f>
        <v>13500</v>
      </c>
      <c r="E21" s="467">
        <v>0</v>
      </c>
      <c r="F21" s="467">
        <v>0</v>
      </c>
      <c r="G21" s="467">
        <v>0</v>
      </c>
      <c r="H21" s="467">
        <v>0</v>
      </c>
      <c r="I21" s="467">
        <v>0</v>
      </c>
      <c r="J21" s="467">
        <v>0</v>
      </c>
      <c r="K21" s="94"/>
      <c r="L21" s="20"/>
      <c r="M21" s="20"/>
      <c r="N21" s="20"/>
      <c r="O21" s="20"/>
      <c r="R21" s="20"/>
      <c r="S21" s="20"/>
    </row>
    <row r="22" spans="1:19" s="55" customFormat="1" ht="19.149999999999999" customHeight="1" x14ac:dyDescent="0.25">
      <c r="A22" s="404" t="s">
        <v>59</v>
      </c>
      <c r="B22" s="402" t="s">
        <v>364</v>
      </c>
      <c r="C22" s="389">
        <f t="shared" si="0"/>
        <v>47250</v>
      </c>
      <c r="D22" s="467">
        <f>'Dig Review - Inputs 3'!F15</f>
        <v>6750</v>
      </c>
      <c r="E22" s="467">
        <f t="shared" ref="E22:J22" si="2">D22</f>
        <v>6750</v>
      </c>
      <c r="F22" s="467">
        <f t="shared" si="2"/>
        <v>6750</v>
      </c>
      <c r="G22" s="467">
        <f t="shared" si="2"/>
        <v>6750</v>
      </c>
      <c r="H22" s="467">
        <f t="shared" si="2"/>
        <v>6750</v>
      </c>
      <c r="I22" s="467">
        <f t="shared" si="2"/>
        <v>6750</v>
      </c>
      <c r="J22" s="467">
        <f t="shared" si="2"/>
        <v>6750</v>
      </c>
      <c r="K22" s="94"/>
      <c r="L22" s="20"/>
      <c r="M22" s="20"/>
      <c r="N22" s="20"/>
      <c r="O22" s="242"/>
      <c r="R22" s="20"/>
      <c r="S22" s="20"/>
    </row>
    <row r="23" spans="1:19" s="55" customFormat="1" ht="47.25" x14ac:dyDescent="0.25">
      <c r="A23" s="404" t="s">
        <v>79</v>
      </c>
      <c r="B23" s="402" t="s">
        <v>365</v>
      </c>
      <c r="C23" s="389">
        <f t="shared" si="0"/>
        <v>162259.61538461538</v>
      </c>
      <c r="D23" s="467">
        <f>200*250/20*'Dig Review - Inputs 3'!D13*(1+'Dig Review - Inputs 3'!E13)/2080</f>
        <v>162259.61538461538</v>
      </c>
      <c r="E23" s="467">
        <v>0</v>
      </c>
      <c r="F23" s="467">
        <v>0</v>
      </c>
      <c r="G23" s="467">
        <v>0</v>
      </c>
      <c r="H23" s="467">
        <v>0</v>
      </c>
      <c r="I23" s="467">
        <v>0</v>
      </c>
      <c r="J23" s="467">
        <v>0</v>
      </c>
      <c r="K23" s="94"/>
      <c r="L23" s="20"/>
      <c r="M23" s="20"/>
      <c r="N23" s="20"/>
      <c r="O23" s="242"/>
      <c r="R23" s="20"/>
      <c r="S23" s="20"/>
    </row>
    <row r="24" spans="1:19" s="55" customFormat="1" ht="21" customHeight="1" x14ac:dyDescent="0.25">
      <c r="A24" s="404" t="s">
        <v>58</v>
      </c>
      <c r="B24" s="470" t="s">
        <v>306</v>
      </c>
      <c r="C24" s="389">
        <f t="shared" si="0"/>
        <v>0</v>
      </c>
      <c r="D24" s="467">
        <v>0</v>
      </c>
      <c r="E24" s="467">
        <v>0</v>
      </c>
      <c r="F24" s="467">
        <v>0</v>
      </c>
      <c r="G24" s="467">
        <v>0</v>
      </c>
      <c r="H24" s="467">
        <v>0</v>
      </c>
      <c r="I24" s="467">
        <v>0</v>
      </c>
      <c r="J24" s="467">
        <v>0</v>
      </c>
      <c r="K24" s="94"/>
      <c r="L24" s="20"/>
      <c r="M24" s="20"/>
      <c r="N24" s="20"/>
      <c r="O24" s="20"/>
      <c r="R24" s="20"/>
      <c r="S24" s="20"/>
    </row>
  </sheetData>
  <mergeCells count="2">
    <mergeCell ref="A4:J4"/>
    <mergeCell ref="A7:J7"/>
  </mergeCells>
  <pageMargins left="0.7" right="0.7" top="0.75" bottom="0.75" header="0.3" footer="0.3"/>
  <pageSetup paperSize="17" scale="75" orientation="landscape" verticalDpi="0" r:id="rId1"/>
  <tableParts count="1">
    <tablePart r:id="rId2"/>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P57"/>
  <sheetViews>
    <sheetView zoomScale="70" zoomScaleNormal="70" workbookViewId="0">
      <pane ySplit="12" topLeftCell="A13" activePane="bottomLeft" state="frozen"/>
      <selection pane="bottomLeft" activeCell="I17" sqref="I17"/>
    </sheetView>
  </sheetViews>
  <sheetFormatPr defaultColWidth="9.140625" defaultRowHeight="15.75" x14ac:dyDescent="0.25"/>
  <cols>
    <col min="1" max="1" width="65.28515625" style="55" customWidth="1"/>
    <col min="2" max="3" width="16.7109375" style="55" customWidth="1"/>
    <col min="4" max="4" width="13.85546875" style="55" customWidth="1"/>
    <col min="5" max="5" width="15.5703125" style="55" bestFit="1" customWidth="1"/>
    <col min="6" max="6" width="15.7109375" style="55" customWidth="1"/>
    <col min="7" max="7" width="15.5703125" style="55" customWidth="1"/>
    <col min="8" max="9" width="15" style="55" bestFit="1" customWidth="1"/>
    <col min="10" max="10" width="10.7109375" style="117" bestFit="1" customWidth="1"/>
    <col min="11" max="16384" width="9.140625" style="117"/>
  </cols>
  <sheetData>
    <row r="1" spans="1:16" ht="21" x14ac:dyDescent="0.35">
      <c r="A1" s="521" t="s">
        <v>61</v>
      </c>
      <c r="B1" s="120"/>
      <c r="C1" s="120"/>
      <c r="D1" s="120"/>
      <c r="E1" s="120"/>
      <c r="F1" s="120"/>
      <c r="G1" s="120"/>
      <c r="H1" s="120"/>
      <c r="I1" s="120"/>
      <c r="J1" s="119"/>
      <c r="K1" s="119"/>
      <c r="L1" s="119"/>
      <c r="M1" s="119"/>
      <c r="N1" s="119"/>
      <c r="O1" s="119"/>
      <c r="P1" s="119"/>
    </row>
    <row r="2" spans="1:16" ht="18.75" x14ac:dyDescent="0.3">
      <c r="A2" s="520" t="s">
        <v>154</v>
      </c>
      <c r="B2" s="120"/>
      <c r="C2" s="120"/>
      <c r="D2" s="120"/>
      <c r="E2" s="120"/>
      <c r="F2" s="120"/>
      <c r="G2" s="120"/>
      <c r="H2" s="120"/>
      <c r="I2" s="120"/>
      <c r="J2" s="119"/>
      <c r="K2" s="119"/>
      <c r="L2" s="119"/>
      <c r="M2" s="119"/>
      <c r="N2" s="119"/>
      <c r="O2" s="119"/>
      <c r="P2" s="119"/>
    </row>
    <row r="3" spans="1:16" ht="16.5" thickBot="1" x14ac:dyDescent="0.3">
      <c r="A3" s="64"/>
      <c r="B3" s="120"/>
      <c r="C3" s="120"/>
      <c r="D3" s="120"/>
      <c r="E3" s="120"/>
      <c r="F3" s="120"/>
      <c r="G3" s="120"/>
      <c r="H3" s="120"/>
      <c r="I3" s="120"/>
      <c r="J3" s="119"/>
      <c r="K3" s="119"/>
      <c r="L3" s="119"/>
      <c r="M3" s="119"/>
      <c r="N3" s="119"/>
      <c r="O3" s="119"/>
      <c r="P3" s="119"/>
    </row>
    <row r="4" spans="1:16" ht="66" customHeight="1" thickTop="1" thickBot="1" x14ac:dyDescent="0.3">
      <c r="A4" s="626" t="s">
        <v>366</v>
      </c>
      <c r="B4" s="627"/>
      <c r="C4" s="627"/>
      <c r="D4" s="627"/>
      <c r="E4" s="627"/>
      <c r="F4" s="627"/>
      <c r="G4" s="627"/>
      <c r="H4" s="627"/>
      <c r="I4" s="628"/>
    </row>
    <row r="5" spans="1:16" ht="16.5" thickTop="1" x14ac:dyDescent="0.25">
      <c r="A5" s="195"/>
      <c r="B5" s="195"/>
      <c r="C5" s="195"/>
      <c r="D5" s="195"/>
      <c r="E5" s="195"/>
      <c r="F5" s="195"/>
      <c r="G5" s="195"/>
      <c r="H5" s="195"/>
      <c r="I5" s="195"/>
    </row>
    <row r="6" spans="1:16" s="122" customFormat="1" ht="108" customHeight="1" x14ac:dyDescent="0.25">
      <c r="A6" s="670" t="s">
        <v>533</v>
      </c>
      <c r="B6" s="671"/>
      <c r="C6" s="671"/>
      <c r="D6" s="671"/>
      <c r="E6" s="671"/>
      <c r="F6" s="671"/>
      <c r="G6" s="671"/>
      <c r="H6" s="671"/>
      <c r="I6" s="672"/>
    </row>
    <row r="7" spans="1:16" s="122" customFormat="1" ht="16.899999999999999" customHeight="1" x14ac:dyDescent="0.25">
      <c r="A7" s="94"/>
      <c r="B7" s="94"/>
      <c r="C7" s="94"/>
      <c r="D7" s="94"/>
      <c r="E7" s="94"/>
      <c r="F7" s="94"/>
      <c r="G7" s="94"/>
      <c r="H7" s="94"/>
      <c r="I7" s="94"/>
    </row>
    <row r="8" spans="1:16" s="122" customFormat="1" x14ac:dyDescent="0.25">
      <c r="A8" s="642" t="s">
        <v>520</v>
      </c>
      <c r="B8" s="643"/>
      <c r="C8" s="643"/>
      <c r="D8" s="643"/>
      <c r="E8" s="643"/>
      <c r="F8" s="643"/>
      <c r="G8" s="643"/>
      <c r="H8" s="643"/>
      <c r="I8" s="643"/>
    </row>
    <row r="9" spans="1:16" ht="84" customHeight="1" x14ac:dyDescent="0.25">
      <c r="A9" s="641" t="s">
        <v>461</v>
      </c>
      <c r="B9" s="641"/>
      <c r="C9" s="641"/>
      <c r="D9" s="641"/>
      <c r="E9" s="641"/>
      <c r="F9" s="641"/>
      <c r="G9" s="641"/>
      <c r="H9" s="641"/>
      <c r="I9" s="641"/>
    </row>
    <row r="10" spans="1:16" x14ac:dyDescent="0.25">
      <c r="A10" s="259"/>
      <c r="B10" s="259"/>
      <c r="C10" s="259"/>
      <c r="D10" s="259"/>
      <c r="E10" s="259"/>
      <c r="F10" s="259"/>
      <c r="G10" s="259"/>
      <c r="H10" s="259"/>
      <c r="I10" s="259"/>
    </row>
    <row r="11" spans="1:16" x14ac:dyDescent="0.25">
      <c r="A11" s="339" t="s">
        <v>521</v>
      </c>
      <c r="B11" s="340" t="s">
        <v>522</v>
      </c>
      <c r="C11" s="340" t="s">
        <v>523</v>
      </c>
      <c r="D11" s="340" t="s">
        <v>524</v>
      </c>
      <c r="E11" s="340" t="s">
        <v>525</v>
      </c>
      <c r="F11" s="340" t="s">
        <v>526</v>
      </c>
      <c r="G11" s="340" t="s">
        <v>527</v>
      </c>
      <c r="H11" s="340" t="s">
        <v>528</v>
      </c>
      <c r="I11" s="341" t="s">
        <v>529</v>
      </c>
    </row>
    <row r="12" spans="1:16" hidden="1" x14ac:dyDescent="0.25">
      <c r="A12" s="337"/>
      <c r="B12" s="260"/>
      <c r="C12" s="260">
        <v>1</v>
      </c>
      <c r="D12" s="260">
        <v>2</v>
      </c>
      <c r="E12" s="260">
        <v>3</v>
      </c>
      <c r="F12" s="260">
        <v>4</v>
      </c>
      <c r="G12" s="260">
        <v>5</v>
      </c>
      <c r="H12" s="260">
        <v>6</v>
      </c>
      <c r="I12" s="338">
        <v>7</v>
      </c>
    </row>
    <row r="13" spans="1:16" ht="31.5" x14ac:dyDescent="0.25">
      <c r="A13" s="417" t="str">
        <f>'Dig Review - Inputs 2'!$A12</f>
        <v>Eliminated use of paper, printing, mailing, faxing, scanning and reduced paper storage requirements</v>
      </c>
      <c r="B13" s="428">
        <f>SUM(C13:I13)</f>
        <v>343.75</v>
      </c>
      <c r="C13" s="466">
        <f>'Dig Review - Inputs 2'!$C$12*'Dig Review - Inputs 2'!D12</f>
        <v>0</v>
      </c>
      <c r="D13" s="466">
        <f>'Dig Review - Inputs 2'!$C$12*'Dig Review - Inputs 2'!E12</f>
        <v>31.25</v>
      </c>
      <c r="E13" s="466">
        <f>'Dig Review - Inputs 2'!$C$12*'Dig Review - Inputs 2'!F12</f>
        <v>62.5</v>
      </c>
      <c r="F13" s="466">
        <f>'Dig Review - Inputs 2'!$C$12*'Dig Review - Inputs 2'!G12</f>
        <v>62.5</v>
      </c>
      <c r="G13" s="466">
        <f>'Dig Review - Inputs 2'!$C$12*'Dig Review - Inputs 2'!H12</f>
        <v>62.5</v>
      </c>
      <c r="H13" s="466">
        <f>'Dig Review - Inputs 2'!$C$12*'Dig Review - Inputs 2'!I12</f>
        <v>62.5</v>
      </c>
      <c r="I13" s="466">
        <f>'Dig Review - Inputs 2'!$C$12*'Dig Review - Inputs 2'!J12</f>
        <v>62.5</v>
      </c>
    </row>
    <row r="14" spans="1:16" ht="74.25" customHeight="1" x14ac:dyDescent="0.25">
      <c r="A14" s="417" t="str">
        <f>'Dig Review - Inputs 2'!$A13</f>
        <v>Increase in the overall efficiency and effectiveness of the delivery of the agency's construction program by streamlining and standardizing key processes (e.g., faster review and approvals)</v>
      </c>
      <c r="B14" s="428">
        <f>SUM(C14:I14)</f>
        <v>3432000</v>
      </c>
      <c r="C14" s="466">
        <f>'Dig Review - Inputs 2'!$C$13*'Dig Review - Inputs 2'!D13</f>
        <v>0</v>
      </c>
      <c r="D14" s="466">
        <f>'Dig Review - Inputs 2'!$C$13*'Dig Review - Inputs 2'!E13</f>
        <v>312000</v>
      </c>
      <c r="E14" s="466">
        <f>'Dig Review - Inputs 2'!$C$13*'Dig Review - Inputs 2'!F13</f>
        <v>624000</v>
      </c>
      <c r="F14" s="466">
        <f>'Dig Review - Inputs 2'!$C$13*'Dig Review - Inputs 2'!G13</f>
        <v>624000</v>
      </c>
      <c r="G14" s="466">
        <f>'Dig Review - Inputs 2'!$C$13*'Dig Review - Inputs 2'!H13</f>
        <v>624000</v>
      </c>
      <c r="H14" s="466">
        <f>'Dig Review - Inputs 2'!$C$13*'Dig Review - Inputs 2'!I13</f>
        <v>624000</v>
      </c>
      <c r="I14" s="466">
        <f>'Dig Review - Inputs 2'!$C$13*'Dig Review - Inputs 2'!J13</f>
        <v>624000</v>
      </c>
      <c r="M14" s="133"/>
      <c r="N14" s="133"/>
    </row>
    <row r="15" spans="1:16" x14ac:dyDescent="0.25">
      <c r="A15" s="465" t="s">
        <v>26</v>
      </c>
      <c r="B15" s="428">
        <f>SUM(B13:B14)</f>
        <v>3432343.75</v>
      </c>
      <c r="C15" s="428">
        <f t="shared" ref="C15:I15" si="0">SUM(C13:C14)</f>
        <v>0</v>
      </c>
      <c r="D15" s="428">
        <f t="shared" si="0"/>
        <v>312031.25</v>
      </c>
      <c r="E15" s="428">
        <f t="shared" si="0"/>
        <v>624062.5</v>
      </c>
      <c r="F15" s="428">
        <f t="shared" si="0"/>
        <v>624062.5</v>
      </c>
      <c r="G15" s="428">
        <f t="shared" si="0"/>
        <v>624062.5</v>
      </c>
      <c r="H15" s="428">
        <f t="shared" si="0"/>
        <v>624062.5</v>
      </c>
      <c r="I15" s="428">
        <f t="shared" si="0"/>
        <v>624062.5</v>
      </c>
      <c r="M15" s="133"/>
      <c r="N15" s="133"/>
    </row>
    <row r="16" spans="1:16" x14ac:dyDescent="0.25">
      <c r="A16" s="374"/>
      <c r="B16" s="375"/>
      <c r="C16" s="376"/>
      <c r="D16" s="376"/>
      <c r="E16" s="376"/>
      <c r="F16" s="376"/>
      <c r="G16" s="376"/>
      <c r="H16" s="376"/>
      <c r="I16" s="377"/>
      <c r="M16" s="133"/>
      <c r="N16" s="133"/>
    </row>
    <row r="17" spans="1:15" x14ac:dyDescent="0.25">
      <c r="A17" s="181" t="s">
        <v>530</v>
      </c>
      <c r="B17" s="182" t="s">
        <v>522</v>
      </c>
      <c r="C17" s="182" t="s">
        <v>523</v>
      </c>
      <c r="D17" s="182" t="s">
        <v>524</v>
      </c>
      <c r="E17" s="182" t="s">
        <v>525</v>
      </c>
      <c r="F17" s="182" t="s">
        <v>526</v>
      </c>
      <c r="G17" s="182" t="s">
        <v>527</v>
      </c>
      <c r="H17" s="182" t="s">
        <v>528</v>
      </c>
      <c r="I17" s="182" t="s">
        <v>529</v>
      </c>
      <c r="M17" s="133" t="s">
        <v>104</v>
      </c>
      <c r="N17" s="133"/>
    </row>
    <row r="18" spans="1:15" x14ac:dyDescent="0.25">
      <c r="A18" s="382" t="str">
        <f>'Dig Review - Inputs 4'!$A12</f>
        <v>Pre-implementation planning consultant</v>
      </c>
      <c r="B18" s="383">
        <f>SUM(C18:I18)</f>
        <v>50000</v>
      </c>
      <c r="C18" s="461">
        <f>'Dig Review - Inputs 4'!D12</f>
        <v>50000</v>
      </c>
      <c r="D18" s="461">
        <f>'Dig Review - Inputs 4'!E12</f>
        <v>0</v>
      </c>
      <c r="E18" s="461">
        <f>'Dig Review - Inputs 4'!F12</f>
        <v>0</v>
      </c>
      <c r="F18" s="461">
        <f>'Dig Review - Inputs 4'!G12</f>
        <v>0</v>
      </c>
      <c r="G18" s="461">
        <f>'Dig Review - Inputs 4'!H12</f>
        <v>0</v>
      </c>
      <c r="H18" s="461">
        <f>'Dig Review - Inputs 4'!I12</f>
        <v>0</v>
      </c>
      <c r="I18" s="461">
        <f>'Dig Review - Inputs 4'!J12</f>
        <v>0</v>
      </c>
      <c r="M18" s="133"/>
      <c r="N18" s="133"/>
    </row>
    <row r="19" spans="1:15" x14ac:dyDescent="0.25">
      <c r="A19" s="382" t="str">
        <f>'Dig Review - Inputs 4'!$A13</f>
        <v>COTS software licenses</v>
      </c>
      <c r="B19" s="383">
        <f t="shared" ref="B19:B29" si="1">SUM(C19:I19)</f>
        <v>98000</v>
      </c>
      <c r="C19" s="461">
        <f>'Dig Review - Inputs 4'!D13</f>
        <v>14000</v>
      </c>
      <c r="D19" s="461">
        <f>'Dig Review - Inputs 4'!E13</f>
        <v>14000</v>
      </c>
      <c r="E19" s="461">
        <f>'Dig Review - Inputs 4'!F13</f>
        <v>14000</v>
      </c>
      <c r="F19" s="461">
        <f>'Dig Review - Inputs 4'!G13</f>
        <v>14000</v>
      </c>
      <c r="G19" s="461">
        <f>'Dig Review - Inputs 4'!H13</f>
        <v>14000</v>
      </c>
      <c r="H19" s="461">
        <f>'Dig Review - Inputs 4'!I13</f>
        <v>14000</v>
      </c>
      <c r="I19" s="461">
        <f>'Dig Review - Inputs 4'!J13</f>
        <v>14000</v>
      </c>
      <c r="M19" s="133"/>
      <c r="N19" s="133"/>
    </row>
    <row r="20" spans="1:15" x14ac:dyDescent="0.25">
      <c r="A20" s="382" t="str">
        <f>'Dig Review - Inputs 4'!$A14</f>
        <v>COTS software maintenance</v>
      </c>
      <c r="B20" s="383">
        <f t="shared" si="1"/>
        <v>0</v>
      </c>
      <c r="C20" s="461">
        <f>'Dig Review - Inputs 4'!D14</f>
        <v>0</v>
      </c>
      <c r="D20" s="461">
        <f>'Dig Review - Inputs 4'!E14</f>
        <v>0</v>
      </c>
      <c r="E20" s="461">
        <f>'Dig Review - Inputs 4'!F14</f>
        <v>0</v>
      </c>
      <c r="F20" s="461">
        <f>'Dig Review - Inputs 4'!G14</f>
        <v>0</v>
      </c>
      <c r="G20" s="461">
        <f>'Dig Review - Inputs 4'!H14</f>
        <v>0</v>
      </c>
      <c r="H20" s="461">
        <f>'Dig Review - Inputs 4'!I14</f>
        <v>0</v>
      </c>
      <c r="I20" s="461">
        <f>'Dig Review - Inputs 4'!J14</f>
        <v>0</v>
      </c>
      <c r="M20" s="133"/>
      <c r="N20" s="133"/>
    </row>
    <row r="21" spans="1:15" x14ac:dyDescent="0.25">
      <c r="A21" s="382" t="str">
        <f>'Dig Review - Inputs 4'!$A15</f>
        <v>Systems integration services</v>
      </c>
      <c r="B21" s="383">
        <f t="shared" si="1"/>
        <v>0</v>
      </c>
      <c r="C21" s="461">
        <f>'Dig Review - Inputs 4'!D15</f>
        <v>0</v>
      </c>
      <c r="D21" s="461">
        <f>'Dig Review - Inputs 4'!E15</f>
        <v>0</v>
      </c>
      <c r="E21" s="461">
        <f>'Dig Review - Inputs 4'!F15</f>
        <v>0</v>
      </c>
      <c r="F21" s="461">
        <f>'Dig Review - Inputs 4'!G15</f>
        <v>0</v>
      </c>
      <c r="G21" s="461">
        <f>'Dig Review - Inputs 4'!H15</f>
        <v>0</v>
      </c>
      <c r="H21" s="461">
        <f>'Dig Review - Inputs 4'!I15</f>
        <v>0</v>
      </c>
      <c r="I21" s="461">
        <f>'Dig Review - Inputs 4'!J15</f>
        <v>0</v>
      </c>
      <c r="M21" s="133"/>
      <c r="N21" s="133"/>
    </row>
    <row r="22" spans="1:15" x14ac:dyDescent="0.25">
      <c r="A22" s="382" t="str">
        <f>'Dig Review - Inputs 4'!$A16</f>
        <v xml:space="preserve">Managed services support </v>
      </c>
      <c r="B22" s="383">
        <f t="shared" si="1"/>
        <v>0</v>
      </c>
      <c r="C22" s="461">
        <f>'Dig Review - Inputs 4'!D16</f>
        <v>0</v>
      </c>
      <c r="D22" s="461">
        <f>'Dig Review - Inputs 4'!E16</f>
        <v>0</v>
      </c>
      <c r="E22" s="461">
        <f>'Dig Review - Inputs 4'!F16</f>
        <v>0</v>
      </c>
      <c r="F22" s="461">
        <f>'Dig Review - Inputs 4'!G16</f>
        <v>0</v>
      </c>
      <c r="G22" s="461">
        <f>'Dig Review - Inputs 4'!H16</f>
        <v>0</v>
      </c>
      <c r="H22" s="461">
        <f>'Dig Review - Inputs 4'!I16</f>
        <v>0</v>
      </c>
      <c r="I22" s="461">
        <f>'Dig Review - Inputs 4'!J16</f>
        <v>0</v>
      </c>
      <c r="M22" s="133"/>
      <c r="N22" s="133"/>
    </row>
    <row r="23" spans="1:15" x14ac:dyDescent="0.25">
      <c r="A23" s="382" t="str">
        <f>'Dig Review - Inputs 4'!$A17</f>
        <v>Hardware and other technical infrastructure</v>
      </c>
      <c r="B23" s="383">
        <f t="shared" si="1"/>
        <v>0</v>
      </c>
      <c r="C23" s="461">
        <f>'Dig Review - Inputs 4'!D17</f>
        <v>0</v>
      </c>
      <c r="D23" s="461">
        <f>'Dig Review - Inputs 4'!E17</f>
        <v>0</v>
      </c>
      <c r="E23" s="461">
        <f>'Dig Review - Inputs 4'!F17</f>
        <v>0</v>
      </c>
      <c r="F23" s="461">
        <f>'Dig Review - Inputs 4'!G17</f>
        <v>0</v>
      </c>
      <c r="G23" s="461">
        <f>'Dig Review - Inputs 4'!H17</f>
        <v>0</v>
      </c>
      <c r="H23" s="461">
        <f>'Dig Review - Inputs 4'!I17</f>
        <v>0</v>
      </c>
      <c r="I23" s="461">
        <f>'Dig Review - Inputs 4'!J17</f>
        <v>0</v>
      </c>
      <c r="M23" s="133"/>
      <c r="N23" s="133"/>
      <c r="O23" s="133"/>
    </row>
    <row r="24" spans="1:15" x14ac:dyDescent="0.25">
      <c r="A24" s="382" t="str">
        <f>'Dig Review - Inputs 4'!$A18</f>
        <v>Hardware and infrastructure maintenance</v>
      </c>
      <c r="B24" s="383">
        <f t="shared" si="1"/>
        <v>0</v>
      </c>
      <c r="C24" s="461">
        <f>'Dig Review - Inputs 4'!D18</f>
        <v>0</v>
      </c>
      <c r="D24" s="461">
        <f>'Dig Review - Inputs 4'!E18</f>
        <v>0</v>
      </c>
      <c r="E24" s="461">
        <f>'Dig Review - Inputs 4'!F18</f>
        <v>0</v>
      </c>
      <c r="F24" s="461">
        <f>'Dig Review - Inputs 4'!G18</f>
        <v>0</v>
      </c>
      <c r="G24" s="461">
        <f>'Dig Review - Inputs 4'!H18</f>
        <v>0</v>
      </c>
      <c r="H24" s="461">
        <f>'Dig Review - Inputs 4'!I18</f>
        <v>0</v>
      </c>
      <c r="I24" s="461">
        <f>'Dig Review - Inputs 4'!J18</f>
        <v>0</v>
      </c>
      <c r="M24" s="133"/>
      <c r="N24" s="133"/>
    </row>
    <row r="25" spans="1:15" x14ac:dyDescent="0.25">
      <c r="A25" s="382" t="str">
        <f>'Dig Review - Inputs 4'!$A19</f>
        <v>On-site training/web-based training</v>
      </c>
      <c r="B25" s="383">
        <f t="shared" si="1"/>
        <v>25000</v>
      </c>
      <c r="C25" s="461">
        <f>'Dig Review - Inputs 4'!D19</f>
        <v>25000</v>
      </c>
      <c r="D25" s="461">
        <f>'Dig Review - Inputs 4'!E19</f>
        <v>0</v>
      </c>
      <c r="E25" s="461">
        <f>'Dig Review - Inputs 4'!F19</f>
        <v>0</v>
      </c>
      <c r="F25" s="461">
        <f>'Dig Review - Inputs 4'!G19</f>
        <v>0</v>
      </c>
      <c r="G25" s="461">
        <f>'Dig Review - Inputs 4'!H19</f>
        <v>0</v>
      </c>
      <c r="H25" s="461">
        <f>'Dig Review - Inputs 4'!I19</f>
        <v>0</v>
      </c>
      <c r="I25" s="461">
        <f>'Dig Review - Inputs 4'!J19</f>
        <v>0</v>
      </c>
      <c r="M25" s="133"/>
      <c r="N25" s="133"/>
    </row>
    <row r="26" spans="1:15" x14ac:dyDescent="0.25">
      <c r="A26" s="382" t="str">
        <f>'Dig Review - Inputs 4'!$A20</f>
        <v>Hardware replacement/updates</v>
      </c>
      <c r="B26" s="383">
        <f t="shared" si="1"/>
        <v>0</v>
      </c>
      <c r="C26" s="461">
        <f>'Dig Review - Inputs 4'!D20</f>
        <v>0</v>
      </c>
      <c r="D26" s="461">
        <f>'Dig Review - Inputs 4'!E20</f>
        <v>0</v>
      </c>
      <c r="E26" s="461">
        <f>'Dig Review - Inputs 4'!F20</f>
        <v>0</v>
      </c>
      <c r="F26" s="461">
        <f>'Dig Review - Inputs 4'!G20</f>
        <v>0</v>
      </c>
      <c r="G26" s="461">
        <f>'Dig Review - Inputs 4'!H20</f>
        <v>0</v>
      </c>
      <c r="H26" s="461">
        <f>'Dig Review - Inputs 4'!I20</f>
        <v>0</v>
      </c>
      <c r="I26" s="461">
        <f>'Dig Review - Inputs 4'!J20</f>
        <v>0</v>
      </c>
      <c r="M26" s="133"/>
      <c r="N26" s="133"/>
    </row>
    <row r="27" spans="1:15" x14ac:dyDescent="0.25">
      <c r="A27" s="382" t="str">
        <f>'Dig Review - Inputs 4'!$A21</f>
        <v>Agency staff cost during project</v>
      </c>
      <c r="B27" s="383">
        <f t="shared" si="1"/>
        <v>13500</v>
      </c>
      <c r="C27" s="461">
        <f>'Dig Review - Inputs 4'!D21</f>
        <v>13500</v>
      </c>
      <c r="D27" s="461">
        <f>'Dig Review - Inputs 4'!E21</f>
        <v>0</v>
      </c>
      <c r="E27" s="461">
        <f>'Dig Review - Inputs 4'!F21</f>
        <v>0</v>
      </c>
      <c r="F27" s="461">
        <f>'Dig Review - Inputs 4'!G21</f>
        <v>0</v>
      </c>
      <c r="G27" s="461">
        <f>'Dig Review - Inputs 4'!H21</f>
        <v>0</v>
      </c>
      <c r="H27" s="461">
        <f>'Dig Review - Inputs 4'!I21</f>
        <v>0</v>
      </c>
      <c r="I27" s="461">
        <f>'Dig Review - Inputs 4'!J21</f>
        <v>0</v>
      </c>
      <c r="M27" s="133"/>
      <c r="N27" s="133"/>
    </row>
    <row r="28" spans="1:15" x14ac:dyDescent="0.25">
      <c r="A28" s="382" t="str">
        <f>'Dig Review - Inputs 4'!$A22</f>
        <v>Agency staff cost to support system ongoing</v>
      </c>
      <c r="B28" s="383">
        <f t="shared" si="1"/>
        <v>47250</v>
      </c>
      <c r="C28" s="461">
        <f>'Dig Review - Inputs 4'!D22</f>
        <v>6750</v>
      </c>
      <c r="D28" s="461">
        <f>'Dig Review - Inputs 4'!E22</f>
        <v>6750</v>
      </c>
      <c r="E28" s="461">
        <f>'Dig Review - Inputs 4'!F22</f>
        <v>6750</v>
      </c>
      <c r="F28" s="461">
        <f>'Dig Review - Inputs 4'!G22</f>
        <v>6750</v>
      </c>
      <c r="G28" s="461">
        <f>'Dig Review - Inputs 4'!H22</f>
        <v>6750</v>
      </c>
      <c r="H28" s="461">
        <f>'Dig Review - Inputs 4'!I22</f>
        <v>6750</v>
      </c>
      <c r="I28" s="461">
        <f>'Dig Review - Inputs 4'!J22</f>
        <v>6750</v>
      </c>
      <c r="M28" s="133"/>
      <c r="N28" s="133"/>
    </row>
    <row r="29" spans="1:15" x14ac:dyDescent="0.25">
      <c r="A29" s="382" t="str">
        <f>'Dig Review - Inputs 4'!$A24</f>
        <v>Systems integration services for upgrade</v>
      </c>
      <c r="B29" s="383">
        <f t="shared" si="1"/>
        <v>162259.61538461538</v>
      </c>
      <c r="C29" s="461">
        <f>'Dig Review - Inputs 4'!D23</f>
        <v>162259.61538461538</v>
      </c>
      <c r="D29" s="461">
        <f>'Dig Review - Inputs 4'!E23</f>
        <v>0</v>
      </c>
      <c r="E29" s="461">
        <f>'Dig Review - Inputs 4'!F23</f>
        <v>0</v>
      </c>
      <c r="F29" s="461">
        <f>'Dig Review - Inputs 4'!G23</f>
        <v>0</v>
      </c>
      <c r="G29" s="461">
        <f>'Dig Review - Inputs 4'!H23</f>
        <v>0</v>
      </c>
      <c r="H29" s="461">
        <f>'Dig Review - Inputs 4'!I23</f>
        <v>0</v>
      </c>
      <c r="I29" s="461">
        <f>'Dig Review - Inputs 4'!J23</f>
        <v>0</v>
      </c>
      <c r="M29" s="133"/>
      <c r="N29" s="133"/>
    </row>
    <row r="30" spans="1:15" ht="15.75" customHeight="1" x14ac:dyDescent="0.25">
      <c r="A30" s="462" t="s">
        <v>27</v>
      </c>
      <c r="B30" s="383">
        <f>SUM(B18:B29)</f>
        <v>396009.61538461538</v>
      </c>
      <c r="C30" s="383">
        <f>SUM(C18:C29)</f>
        <v>271509.61538461538</v>
      </c>
      <c r="D30" s="383">
        <f t="shared" ref="D30:I30" si="2">SUM(D18:D29)</f>
        <v>20750</v>
      </c>
      <c r="E30" s="383">
        <f t="shared" si="2"/>
        <v>20750</v>
      </c>
      <c r="F30" s="383">
        <f t="shared" si="2"/>
        <v>20750</v>
      </c>
      <c r="G30" s="383">
        <f t="shared" si="2"/>
        <v>20750</v>
      </c>
      <c r="H30" s="383">
        <f t="shared" si="2"/>
        <v>20750</v>
      </c>
      <c r="I30" s="383">
        <f t="shared" si="2"/>
        <v>20750</v>
      </c>
    </row>
    <row r="31" spans="1:15" ht="15.75" customHeight="1" x14ac:dyDescent="0.25">
      <c r="A31" s="463" t="s">
        <v>205</v>
      </c>
      <c r="B31" s="383">
        <f t="shared" ref="B31:I31" si="3">B15-B30</f>
        <v>3036334.1346153845</v>
      </c>
      <c r="C31" s="383">
        <f t="shared" si="3"/>
        <v>-271509.61538461538</v>
      </c>
      <c r="D31" s="383">
        <f t="shared" si="3"/>
        <v>291281.25</v>
      </c>
      <c r="E31" s="383">
        <f t="shared" si="3"/>
        <v>603312.5</v>
      </c>
      <c r="F31" s="383">
        <f t="shared" si="3"/>
        <v>603312.5</v>
      </c>
      <c r="G31" s="383">
        <f t="shared" si="3"/>
        <v>603312.5</v>
      </c>
      <c r="H31" s="383">
        <f t="shared" si="3"/>
        <v>603312.5</v>
      </c>
      <c r="I31" s="383">
        <f t="shared" si="3"/>
        <v>603312.5</v>
      </c>
      <c r="J31" s="577"/>
    </row>
    <row r="32" spans="1:15" s="133" customFormat="1" x14ac:dyDescent="0.25">
      <c r="A32" s="464" t="s">
        <v>206</v>
      </c>
      <c r="B32" s="580" t="s">
        <v>306</v>
      </c>
      <c r="C32" s="383">
        <f>C31</f>
        <v>-271509.61538461538</v>
      </c>
      <c r="D32" s="383">
        <f t="shared" ref="D32:I32" si="4">D31+C32</f>
        <v>19771.634615384624</v>
      </c>
      <c r="E32" s="383">
        <f t="shared" si="4"/>
        <v>623084.13461538462</v>
      </c>
      <c r="F32" s="383">
        <f t="shared" si="4"/>
        <v>1226396.6346153845</v>
      </c>
      <c r="G32" s="383">
        <f t="shared" si="4"/>
        <v>1829709.1346153845</v>
      </c>
      <c r="H32" s="383">
        <f t="shared" si="4"/>
        <v>2433021.6346153845</v>
      </c>
      <c r="I32" s="383">
        <f t="shared" si="4"/>
        <v>3036334.1346153845</v>
      </c>
    </row>
    <row r="33" spans="1:10" s="133" customFormat="1" ht="12.75" customHeight="1" x14ac:dyDescent="0.25">
      <c r="A33" s="215"/>
      <c r="B33" s="215"/>
      <c r="C33" s="261"/>
      <c r="D33" s="261"/>
      <c r="E33" s="261"/>
      <c r="F33" s="261"/>
      <c r="G33" s="261"/>
      <c r="H33" s="261"/>
      <c r="I33" s="261"/>
    </row>
    <row r="34" spans="1:10" s="133" customFormat="1" x14ac:dyDescent="0.25">
      <c r="A34" s="308" t="s">
        <v>42</v>
      </c>
      <c r="B34" s="426" t="str">
        <f>INDEX($C$43:$I$43,MATCH(TRUE, INDEX($C$32:$I$32 &gt;0,),0))</f>
        <v>Year 2</v>
      </c>
      <c r="C34" s="238"/>
      <c r="D34" s="215"/>
      <c r="E34" s="215"/>
      <c r="F34" s="215"/>
      <c r="G34" s="215"/>
      <c r="H34" s="215"/>
      <c r="I34" s="145"/>
    </row>
    <row r="35" spans="1:10" s="133" customFormat="1" x14ac:dyDescent="0.25">
      <c r="A35" s="309" t="s">
        <v>440</v>
      </c>
      <c r="B35" s="427" t="s">
        <v>101</v>
      </c>
      <c r="C35" s="238"/>
      <c r="D35" s="215"/>
      <c r="E35" s="215"/>
      <c r="F35" s="215"/>
      <c r="G35" s="215"/>
      <c r="H35" s="215"/>
      <c r="I35" s="145"/>
    </row>
    <row r="36" spans="1:10" s="133" customFormat="1" ht="15" customHeight="1" x14ac:dyDescent="0.25">
      <c r="A36" s="309" t="s">
        <v>439</v>
      </c>
      <c r="B36" s="427">
        <f>VLOOKUP(B35,$B$49:$C$55,2,FALSE)</f>
        <v>7.6673242685443732</v>
      </c>
      <c r="C36" s="274"/>
      <c r="I36" s="145"/>
    </row>
    <row r="37" spans="1:10" s="133" customFormat="1" x14ac:dyDescent="0.25">
      <c r="A37" s="309" t="s">
        <v>75</v>
      </c>
      <c r="B37" s="428">
        <f>VLOOKUP(B35,$B$49:$E$55,4,FALSE)/VLOOKUP(B35,$B$49:$E$55,3,FALSE)</f>
        <v>56572.802197802193</v>
      </c>
      <c r="C37" s="274"/>
      <c r="I37" s="145"/>
    </row>
    <row r="38" spans="1:10" s="133" customFormat="1" x14ac:dyDescent="0.25">
      <c r="A38" s="307" t="s">
        <v>207</v>
      </c>
      <c r="B38" s="428">
        <f>VLOOKUP(B35,$B$49:$F$55,5,FALSE)/VLOOKUP(B35,$B$49:$F$55,3,FALSE)</f>
        <v>433762.01923076919</v>
      </c>
      <c r="C38" s="274"/>
      <c r="I38" s="145"/>
    </row>
    <row r="39" spans="1:10" x14ac:dyDescent="0.25">
      <c r="A39" s="133"/>
      <c r="B39" s="133"/>
      <c r="C39" s="133"/>
      <c r="D39" s="133"/>
      <c r="E39" s="133"/>
      <c r="F39" s="133"/>
      <c r="G39" s="133"/>
      <c r="H39" s="133"/>
      <c r="I39" s="133"/>
      <c r="J39" s="133"/>
    </row>
    <row r="40" spans="1:10" ht="14.25" customHeight="1" x14ac:dyDescent="0.25">
      <c r="A40" s="133"/>
      <c r="B40" s="133"/>
      <c r="C40" s="133"/>
      <c r="D40" s="133"/>
      <c r="E40" s="133"/>
      <c r="F40" s="133"/>
      <c r="G40" s="133"/>
      <c r="H40" s="133"/>
      <c r="I40" s="133"/>
      <c r="J40" s="133"/>
    </row>
    <row r="41" spans="1:10" ht="18" customHeight="1" x14ac:dyDescent="0.25">
      <c r="A41" s="133"/>
      <c r="B41" s="133"/>
      <c r="C41" s="133"/>
      <c r="D41" s="133"/>
      <c r="E41" s="133"/>
      <c r="F41" s="133"/>
      <c r="G41" s="133"/>
      <c r="H41" s="133"/>
      <c r="I41" s="133"/>
      <c r="J41" s="133"/>
    </row>
    <row r="42" spans="1:10" ht="16.5" hidden="1" customHeight="1" thickBot="1" x14ac:dyDescent="0.3">
      <c r="A42" s="221" t="s">
        <v>155</v>
      </c>
      <c r="B42" s="222"/>
      <c r="C42" s="222"/>
      <c r="D42" s="222"/>
      <c r="E42" s="222"/>
      <c r="F42" s="222"/>
      <c r="G42" s="222"/>
      <c r="H42" s="222"/>
      <c r="I42" s="223"/>
      <c r="J42" s="133"/>
    </row>
    <row r="43" spans="1:10" ht="16.5" hidden="1" customHeight="1" x14ac:dyDescent="0.25">
      <c r="A43" s="584"/>
      <c r="B43" s="585"/>
      <c r="C43" s="586" t="s">
        <v>43</v>
      </c>
      <c r="D43" s="586" t="s">
        <v>44</v>
      </c>
      <c r="E43" s="586" t="s">
        <v>45</v>
      </c>
      <c r="F43" s="586" t="s">
        <v>46</v>
      </c>
      <c r="G43" s="586" t="s">
        <v>47</v>
      </c>
      <c r="H43" s="586" t="s">
        <v>48</v>
      </c>
      <c r="I43" s="587" t="s">
        <v>49</v>
      </c>
      <c r="J43" s="133"/>
    </row>
    <row r="44" spans="1:10" ht="14.25" hidden="1" customHeight="1" x14ac:dyDescent="0.25">
      <c r="A44" s="224" t="s">
        <v>102</v>
      </c>
      <c r="B44" s="225"/>
      <c r="C44" s="226">
        <f>C30</f>
        <v>271509.61538461538</v>
      </c>
      <c r="D44" s="226">
        <f t="shared" ref="D44:I44" si="5">D30+C44</f>
        <v>292259.61538461538</v>
      </c>
      <c r="E44" s="226">
        <f t="shared" si="5"/>
        <v>313009.61538461538</v>
      </c>
      <c r="F44" s="226">
        <f t="shared" si="5"/>
        <v>333759.61538461538</v>
      </c>
      <c r="G44" s="226">
        <f t="shared" si="5"/>
        <v>354509.61538461538</v>
      </c>
      <c r="H44" s="226">
        <f t="shared" si="5"/>
        <v>375259.61538461538</v>
      </c>
      <c r="I44" s="227">
        <f t="shared" si="5"/>
        <v>396009.61538461538</v>
      </c>
    </row>
    <row r="45" spans="1:10" ht="14.25" hidden="1" customHeight="1" x14ac:dyDescent="0.25">
      <c r="A45" s="224" t="s">
        <v>162</v>
      </c>
      <c r="B45" s="225"/>
      <c r="C45" s="228">
        <f t="shared" ref="C45:I45" si="6">C32/C44</f>
        <v>-1</v>
      </c>
      <c r="D45" s="228">
        <f t="shared" si="6"/>
        <v>6.7650929429182466E-2</v>
      </c>
      <c r="E45" s="228">
        <f t="shared" si="6"/>
        <v>1.9906229840567691</v>
      </c>
      <c r="F45" s="228">
        <f t="shared" si="6"/>
        <v>3.6744907954250809</v>
      </c>
      <c r="G45" s="228">
        <f t="shared" si="6"/>
        <v>5.1612397949496867</v>
      </c>
      <c r="H45" s="228">
        <f t="shared" si="6"/>
        <v>6.483569067568606</v>
      </c>
      <c r="I45" s="229">
        <f t="shared" si="6"/>
        <v>7.6673242685443732</v>
      </c>
    </row>
    <row r="46" spans="1:10" ht="14.25" hidden="1" customHeight="1" x14ac:dyDescent="0.25">
      <c r="A46" s="224"/>
      <c r="B46" s="225"/>
      <c r="C46" s="225"/>
      <c r="D46" s="225"/>
      <c r="E46" s="225"/>
      <c r="F46" s="225"/>
      <c r="G46" s="225"/>
      <c r="H46" s="225"/>
      <c r="I46" s="230"/>
    </row>
    <row r="47" spans="1:10" ht="14.25" hidden="1" customHeight="1" x14ac:dyDescent="0.25">
      <c r="A47" s="224"/>
      <c r="B47" s="225"/>
      <c r="C47" s="225"/>
      <c r="D47" s="225"/>
      <c r="E47" s="225"/>
      <c r="F47" s="225"/>
      <c r="G47" s="225"/>
      <c r="H47" s="225"/>
      <c r="I47" s="230"/>
    </row>
    <row r="48" spans="1:10" ht="14.25" hidden="1" customHeight="1" x14ac:dyDescent="0.25">
      <c r="A48" s="224"/>
      <c r="B48" s="183" t="s">
        <v>163</v>
      </c>
      <c r="C48" s="183" t="s">
        <v>162</v>
      </c>
      <c r="D48" s="183" t="s">
        <v>163</v>
      </c>
      <c r="E48" s="183" t="s">
        <v>102</v>
      </c>
      <c r="F48" s="183" t="s">
        <v>206</v>
      </c>
      <c r="G48" s="225"/>
      <c r="H48" s="225"/>
      <c r="I48" s="230"/>
    </row>
    <row r="49" spans="1:9" ht="14.25" hidden="1" customHeight="1" x14ac:dyDescent="0.25">
      <c r="A49" s="224"/>
      <c r="B49" s="186" t="s">
        <v>95</v>
      </c>
      <c r="C49" s="185">
        <f>C45</f>
        <v>-1</v>
      </c>
      <c r="D49" s="183">
        <v>1</v>
      </c>
      <c r="E49" s="590">
        <f>C44</f>
        <v>271509.61538461538</v>
      </c>
      <c r="F49" s="184">
        <f>C32</f>
        <v>-271509.61538461538</v>
      </c>
      <c r="G49" s="225"/>
      <c r="H49" s="225"/>
      <c r="I49" s="230"/>
    </row>
    <row r="50" spans="1:9" ht="14.25" hidden="1" customHeight="1" x14ac:dyDescent="0.25">
      <c r="A50" s="224"/>
      <c r="B50" s="186" t="s">
        <v>96</v>
      </c>
      <c r="C50" s="185">
        <f>D45</f>
        <v>6.7650929429182466E-2</v>
      </c>
      <c r="D50" s="183">
        <v>2</v>
      </c>
      <c r="E50" s="590">
        <f>D44</f>
        <v>292259.61538461538</v>
      </c>
      <c r="F50" s="184">
        <f>D32</f>
        <v>19771.634615384624</v>
      </c>
      <c r="G50" s="225"/>
      <c r="H50" s="225"/>
      <c r="I50" s="230"/>
    </row>
    <row r="51" spans="1:9" ht="14.25" hidden="1" customHeight="1" x14ac:dyDescent="0.25">
      <c r="A51" s="224"/>
      <c r="B51" s="186" t="s">
        <v>97</v>
      </c>
      <c r="C51" s="187">
        <f>E45</f>
        <v>1.9906229840567691</v>
      </c>
      <c r="D51" s="183">
        <v>3</v>
      </c>
      <c r="E51" s="184">
        <f>E44</f>
        <v>313009.61538461538</v>
      </c>
      <c r="F51" s="184">
        <f>E32</f>
        <v>623084.13461538462</v>
      </c>
      <c r="G51" s="225"/>
      <c r="H51" s="225"/>
      <c r="I51" s="230"/>
    </row>
    <row r="52" spans="1:9" ht="14.25" hidden="1" customHeight="1" x14ac:dyDescent="0.25">
      <c r="A52" s="224"/>
      <c r="B52" s="186" t="s">
        <v>98</v>
      </c>
      <c r="C52" s="187">
        <f>F45</f>
        <v>3.6744907954250809</v>
      </c>
      <c r="D52" s="183">
        <v>4</v>
      </c>
      <c r="E52" s="184">
        <f>F44</f>
        <v>333759.61538461538</v>
      </c>
      <c r="F52" s="184">
        <f>F32</f>
        <v>1226396.6346153845</v>
      </c>
      <c r="G52" s="225"/>
      <c r="H52" s="225"/>
      <c r="I52" s="230"/>
    </row>
    <row r="53" spans="1:9" ht="14.25" hidden="1" customHeight="1" x14ac:dyDescent="0.25">
      <c r="A53" s="224"/>
      <c r="B53" s="186" t="s">
        <v>99</v>
      </c>
      <c r="C53" s="187">
        <f>G45</f>
        <v>5.1612397949496867</v>
      </c>
      <c r="D53" s="183">
        <v>5</v>
      </c>
      <c r="E53" s="184">
        <f>G44</f>
        <v>354509.61538461538</v>
      </c>
      <c r="F53" s="184">
        <f>G32</f>
        <v>1829709.1346153845</v>
      </c>
      <c r="G53" s="225"/>
      <c r="H53" s="225"/>
      <c r="I53" s="230"/>
    </row>
    <row r="54" spans="1:9" ht="14.25" hidden="1" customHeight="1" x14ac:dyDescent="0.25">
      <c r="A54" s="224"/>
      <c r="B54" s="186" t="s">
        <v>100</v>
      </c>
      <c r="C54" s="187">
        <f>H45</f>
        <v>6.483569067568606</v>
      </c>
      <c r="D54" s="183">
        <v>6</v>
      </c>
      <c r="E54" s="184">
        <f>H44</f>
        <v>375259.61538461538</v>
      </c>
      <c r="F54" s="184">
        <f>H32</f>
        <v>2433021.6346153845</v>
      </c>
      <c r="G54" s="225"/>
      <c r="H54" s="225"/>
      <c r="I54" s="230"/>
    </row>
    <row r="55" spans="1:9" ht="14.25" hidden="1" customHeight="1" thickBot="1" x14ac:dyDescent="0.3">
      <c r="A55" s="231"/>
      <c r="B55" s="232" t="s">
        <v>101</v>
      </c>
      <c r="C55" s="233">
        <f>I45</f>
        <v>7.6673242685443732</v>
      </c>
      <c r="D55" s="234">
        <v>7</v>
      </c>
      <c r="E55" s="235">
        <f>I44</f>
        <v>396009.61538461538</v>
      </c>
      <c r="F55" s="235">
        <f>I32</f>
        <v>3036334.1346153845</v>
      </c>
      <c r="G55" s="236"/>
      <c r="H55" s="236"/>
      <c r="I55" s="237"/>
    </row>
    <row r="56" spans="1:9" ht="14.25" customHeight="1" x14ac:dyDescent="0.25">
      <c r="A56" s="117"/>
      <c r="B56" s="117"/>
      <c r="C56" s="117"/>
      <c r="D56" s="117"/>
      <c r="E56" s="117"/>
      <c r="F56" s="117"/>
      <c r="G56" s="117"/>
      <c r="H56" s="117"/>
      <c r="I56" s="117"/>
    </row>
    <row r="57" spans="1:9" x14ac:dyDescent="0.25">
      <c r="A57" s="117"/>
      <c r="B57" s="117"/>
      <c r="C57" s="117"/>
      <c r="D57" s="117"/>
      <c r="E57" s="117"/>
      <c r="F57" s="117"/>
      <c r="G57" s="117"/>
      <c r="H57" s="117"/>
      <c r="I57" s="117"/>
    </row>
  </sheetData>
  <sheetProtection insertColumns="0" insertRows="0" selectLockedCells="1"/>
  <mergeCells count="4">
    <mergeCell ref="A4:I4"/>
    <mergeCell ref="A8:I8"/>
    <mergeCell ref="A9:I9"/>
    <mergeCell ref="A6:I6"/>
  </mergeCells>
  <dataValidations count="1">
    <dataValidation type="list" allowBlank="1" showInputMessage="1" showErrorMessage="1" sqref="B35">
      <formula1>$B$49:$B$55</formula1>
    </dataValidation>
  </dataValidations>
  <pageMargins left="0.7" right="0.7" top="0.75" bottom="0.75" header="0.3" footer="0.3"/>
  <pageSetup paperSize="17" orientation="landscape" r:id="rId1"/>
  <tableParts count="2">
    <tablePart r:id="rId2"/>
    <tablePart r:id="rId3"/>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Z37"/>
  <sheetViews>
    <sheetView zoomScale="70" zoomScaleNormal="70" workbookViewId="0">
      <selection activeCell="E29" sqref="E29"/>
    </sheetView>
  </sheetViews>
  <sheetFormatPr defaultColWidth="9.140625" defaultRowHeight="15" x14ac:dyDescent="0.25"/>
  <cols>
    <col min="1" max="1" width="167.42578125" style="24" customWidth="1"/>
    <col min="2" max="26" width="9.140625" style="31"/>
    <col min="27" max="16384" width="9.140625" style="24"/>
  </cols>
  <sheetData>
    <row r="1" spans="1:16" ht="21" x14ac:dyDescent="0.3">
      <c r="A1" s="537" t="s">
        <v>300</v>
      </c>
      <c r="B1" s="52"/>
      <c r="C1" s="52"/>
      <c r="D1" s="52"/>
      <c r="E1" s="52"/>
      <c r="F1" s="52"/>
      <c r="G1" s="52"/>
      <c r="H1" s="52"/>
      <c r="I1" s="52"/>
      <c r="J1" s="52"/>
      <c r="K1" s="52"/>
      <c r="L1" s="52"/>
      <c r="M1" s="52"/>
      <c r="N1" s="52"/>
      <c r="O1" s="52"/>
      <c r="P1" s="52"/>
    </row>
    <row r="2" spans="1:16" ht="18.75" x14ac:dyDescent="0.3">
      <c r="A2" s="536" t="s">
        <v>305</v>
      </c>
      <c r="B2" s="52"/>
      <c r="C2" s="52"/>
      <c r="D2" s="52"/>
      <c r="E2" s="52"/>
      <c r="F2" s="52"/>
      <c r="G2" s="52"/>
      <c r="H2" s="52"/>
      <c r="I2" s="52"/>
      <c r="J2" s="52"/>
      <c r="K2" s="52"/>
      <c r="L2" s="52"/>
      <c r="M2" s="52"/>
      <c r="N2" s="52"/>
      <c r="O2" s="52"/>
      <c r="P2" s="52"/>
    </row>
    <row r="3" spans="1:16" ht="19.5" thickBot="1" x14ac:dyDescent="0.35">
      <c r="A3" s="262"/>
      <c r="B3" s="52"/>
      <c r="C3" s="52"/>
      <c r="D3" s="52"/>
      <c r="E3" s="52"/>
      <c r="F3" s="52"/>
      <c r="G3" s="52"/>
      <c r="H3" s="52"/>
      <c r="I3" s="52"/>
      <c r="J3" s="52"/>
      <c r="K3" s="52"/>
      <c r="L3" s="52"/>
      <c r="M3" s="52"/>
      <c r="N3" s="52"/>
      <c r="O3" s="52"/>
      <c r="P3" s="52"/>
    </row>
    <row r="4" spans="1:16" ht="79.5" customHeight="1" thickTop="1" thickBot="1" x14ac:dyDescent="0.3">
      <c r="A4" s="84" t="s">
        <v>367</v>
      </c>
      <c r="B4" s="70"/>
      <c r="C4" s="70"/>
      <c r="D4" s="70"/>
      <c r="E4" s="70"/>
      <c r="F4" s="70"/>
      <c r="G4" s="70"/>
      <c r="H4" s="70"/>
      <c r="I4" s="70"/>
      <c r="J4" s="70"/>
      <c r="K4" s="70"/>
      <c r="L4" s="70"/>
      <c r="M4" s="70"/>
      <c r="N4" s="70"/>
      <c r="O4" s="70"/>
      <c r="P4" s="70"/>
    </row>
    <row r="5" spans="1:16" ht="15.75" thickTop="1" x14ac:dyDescent="0.25">
      <c r="A5" s="36"/>
      <c r="B5" s="71"/>
      <c r="C5" s="71"/>
      <c r="D5" s="71"/>
      <c r="E5" s="27"/>
      <c r="F5" s="27"/>
      <c r="G5" s="27"/>
      <c r="H5" s="27"/>
      <c r="I5" s="27"/>
      <c r="J5" s="27"/>
      <c r="K5" s="27"/>
      <c r="L5" s="27"/>
      <c r="M5" s="27"/>
      <c r="N5" s="27"/>
    </row>
    <row r="6" spans="1:16" ht="15.75" x14ac:dyDescent="0.25">
      <c r="A6" s="566" t="s">
        <v>474</v>
      </c>
      <c r="B6" s="27"/>
      <c r="C6" s="49"/>
      <c r="D6" s="49"/>
      <c r="E6" s="27"/>
      <c r="F6" s="27"/>
      <c r="G6" s="27"/>
      <c r="H6" s="27"/>
      <c r="I6" s="27"/>
      <c r="J6" s="27"/>
      <c r="K6" s="27"/>
      <c r="L6" s="27"/>
      <c r="M6" s="27"/>
      <c r="N6" s="27"/>
    </row>
    <row r="7" spans="1:16" x14ac:dyDescent="0.25">
      <c r="A7" s="36"/>
      <c r="B7" s="27"/>
      <c r="C7" s="27"/>
      <c r="D7" s="71"/>
      <c r="E7" s="71"/>
      <c r="F7" s="71"/>
      <c r="G7" s="71"/>
      <c r="H7" s="27"/>
      <c r="I7" s="27"/>
      <c r="J7" s="27"/>
      <c r="K7" s="27"/>
      <c r="L7" s="27"/>
      <c r="M7" s="27"/>
      <c r="N7" s="27"/>
    </row>
    <row r="8" spans="1:16" x14ac:dyDescent="0.25">
      <c r="A8" s="39"/>
      <c r="B8" s="27"/>
      <c r="C8" s="27"/>
      <c r="D8" s="49"/>
      <c r="E8" s="49"/>
      <c r="F8" s="27"/>
      <c r="G8" s="27"/>
      <c r="H8" s="27"/>
      <c r="I8" s="27"/>
      <c r="J8" s="27"/>
      <c r="K8" s="27"/>
      <c r="L8" s="27"/>
      <c r="M8" s="27"/>
      <c r="N8" s="27"/>
    </row>
    <row r="9" spans="1:16" x14ac:dyDescent="0.25">
      <c r="A9" s="39"/>
      <c r="B9" s="27"/>
      <c r="C9" s="27"/>
      <c r="D9" s="27"/>
      <c r="E9" s="27"/>
      <c r="F9" s="27"/>
      <c r="G9" s="27"/>
      <c r="H9" s="27"/>
      <c r="I9" s="27"/>
      <c r="J9" s="27"/>
      <c r="K9" s="27"/>
      <c r="L9" s="27"/>
      <c r="M9" s="27"/>
      <c r="N9" s="27"/>
    </row>
    <row r="10" spans="1:16" x14ac:dyDescent="0.25">
      <c r="A10" s="39"/>
      <c r="B10" s="27"/>
      <c r="C10" s="27"/>
      <c r="D10" s="27"/>
      <c r="E10" s="27"/>
      <c r="F10" s="27"/>
      <c r="G10" s="27"/>
      <c r="H10" s="27"/>
      <c r="I10" s="27"/>
      <c r="J10" s="27"/>
      <c r="K10" s="27"/>
      <c r="L10" s="27"/>
      <c r="M10" s="27"/>
      <c r="N10" s="27"/>
    </row>
    <row r="11" spans="1:16" x14ac:dyDescent="0.25">
      <c r="A11" s="39"/>
      <c r="B11" s="27"/>
      <c r="C11" s="27"/>
      <c r="D11" s="49"/>
      <c r="E11" s="49"/>
      <c r="F11" s="27"/>
      <c r="G11" s="27"/>
      <c r="H11" s="27"/>
      <c r="I11" s="27"/>
      <c r="J11" s="27"/>
      <c r="K11" s="27"/>
      <c r="L11" s="27"/>
      <c r="M11" s="27"/>
      <c r="N11" s="27"/>
    </row>
    <row r="12" spans="1:16" x14ac:dyDescent="0.25">
      <c r="A12" s="39"/>
      <c r="B12" s="27"/>
      <c r="C12" s="27"/>
      <c r="D12" s="27"/>
      <c r="E12" s="27"/>
      <c r="F12" s="27"/>
      <c r="G12" s="27"/>
      <c r="H12" s="27"/>
      <c r="I12" s="27"/>
      <c r="J12" s="27"/>
      <c r="K12" s="27"/>
      <c r="L12" s="27"/>
      <c r="M12" s="27"/>
      <c r="N12" s="27"/>
    </row>
    <row r="13" spans="1:16" x14ac:dyDescent="0.25">
      <c r="A13" s="39"/>
      <c r="B13" s="27"/>
      <c r="C13" s="27"/>
      <c r="D13" s="27"/>
      <c r="E13" s="27"/>
      <c r="F13" s="27"/>
      <c r="G13" s="27"/>
      <c r="H13" s="27"/>
      <c r="I13" s="27"/>
      <c r="J13" s="27"/>
      <c r="K13" s="27"/>
      <c r="L13" s="27"/>
      <c r="M13" s="27"/>
      <c r="N13" s="27"/>
    </row>
    <row r="14" spans="1:16" x14ac:dyDescent="0.25">
      <c r="A14" s="39"/>
      <c r="B14" s="27"/>
      <c r="C14" s="27"/>
      <c r="D14" s="49"/>
      <c r="E14" s="49"/>
      <c r="F14" s="27"/>
      <c r="G14" s="27"/>
      <c r="H14" s="27"/>
      <c r="I14" s="27"/>
      <c r="J14" s="27"/>
      <c r="K14" s="27"/>
      <c r="L14" s="27"/>
      <c r="M14" s="27"/>
      <c r="N14" s="27"/>
    </row>
    <row r="15" spans="1:16" x14ac:dyDescent="0.25">
      <c r="A15" s="39"/>
      <c r="B15" s="27"/>
      <c r="C15" s="27"/>
      <c r="D15" s="27"/>
      <c r="E15" s="27"/>
      <c r="F15" s="49"/>
      <c r="G15" s="27"/>
      <c r="H15" s="27"/>
      <c r="I15" s="27"/>
      <c r="J15" s="27"/>
      <c r="K15" s="27"/>
      <c r="L15" s="27"/>
      <c r="M15" s="27"/>
      <c r="N15" s="27"/>
    </row>
    <row r="16" spans="1:16" x14ac:dyDescent="0.25">
      <c r="A16" s="39"/>
      <c r="B16" s="27"/>
      <c r="C16" s="27"/>
      <c r="D16" s="27"/>
      <c r="E16" s="27"/>
      <c r="F16" s="49"/>
      <c r="G16" s="49"/>
      <c r="H16" s="27"/>
      <c r="I16" s="27"/>
      <c r="J16" s="27"/>
      <c r="K16" s="27"/>
      <c r="L16" s="27"/>
      <c r="M16" s="27"/>
      <c r="N16" s="27"/>
    </row>
    <row r="17" spans="1:14" x14ac:dyDescent="0.25">
      <c r="A17" s="36"/>
      <c r="B17" s="72"/>
      <c r="C17" s="72"/>
      <c r="D17" s="72"/>
      <c r="E17" s="72"/>
      <c r="F17" s="72"/>
      <c r="G17" s="72"/>
      <c r="H17" s="27"/>
      <c r="I17" s="27"/>
      <c r="J17" s="27"/>
      <c r="K17" s="27"/>
      <c r="L17" s="27"/>
      <c r="M17" s="27"/>
      <c r="N17" s="27"/>
    </row>
    <row r="18" spans="1:14" x14ac:dyDescent="0.25">
      <c r="A18" s="36"/>
      <c r="B18" s="72"/>
      <c r="C18" s="72"/>
      <c r="D18" s="72"/>
      <c r="E18" s="72"/>
      <c r="F18" s="72"/>
      <c r="G18" s="72"/>
      <c r="H18" s="27"/>
      <c r="I18" s="27"/>
      <c r="J18" s="27"/>
      <c r="K18" s="27"/>
      <c r="L18" s="27"/>
      <c r="M18" s="27"/>
      <c r="N18" s="27"/>
    </row>
    <row r="19" spans="1:14" x14ac:dyDescent="0.25">
      <c r="A19" s="27"/>
      <c r="B19" s="27"/>
      <c r="C19" s="27"/>
      <c r="D19" s="27"/>
      <c r="E19" s="27"/>
      <c r="F19" s="27"/>
      <c r="G19" s="27"/>
      <c r="H19" s="27"/>
      <c r="I19" s="27"/>
      <c r="J19" s="27"/>
      <c r="K19" s="27"/>
      <c r="L19" s="27"/>
      <c r="M19" s="27"/>
      <c r="N19" s="27"/>
    </row>
    <row r="20" spans="1:14" x14ac:dyDescent="0.25">
      <c r="A20" s="42"/>
      <c r="B20" s="27"/>
      <c r="C20" s="27"/>
      <c r="D20" s="27"/>
      <c r="E20" s="27"/>
      <c r="F20" s="27"/>
      <c r="G20" s="27"/>
      <c r="H20" s="27"/>
      <c r="I20" s="27"/>
      <c r="J20" s="27"/>
      <c r="K20" s="27"/>
      <c r="L20" s="27"/>
      <c r="M20" s="27"/>
      <c r="N20" s="27"/>
    </row>
    <row r="21" spans="1:14" x14ac:dyDescent="0.25">
      <c r="A21" s="27"/>
      <c r="B21" s="32"/>
      <c r="C21" s="27"/>
      <c r="D21" s="27"/>
      <c r="E21" s="27"/>
      <c r="F21" s="27"/>
      <c r="G21" s="27"/>
      <c r="H21" s="27"/>
      <c r="I21" s="27"/>
      <c r="J21" s="27"/>
      <c r="K21" s="27"/>
      <c r="L21" s="27"/>
      <c r="M21" s="27"/>
      <c r="N21" s="27"/>
    </row>
    <row r="22" spans="1:14" x14ac:dyDescent="0.25">
      <c r="A22" s="27"/>
      <c r="B22" s="32"/>
      <c r="C22" s="27"/>
      <c r="D22" s="27"/>
      <c r="E22" s="27"/>
      <c r="F22" s="27"/>
      <c r="G22" s="27"/>
      <c r="H22" s="27"/>
      <c r="I22" s="27"/>
      <c r="J22" s="27"/>
      <c r="K22" s="27"/>
      <c r="L22" s="27"/>
      <c r="M22" s="27"/>
      <c r="N22" s="27"/>
    </row>
    <row r="23" spans="1:14" x14ac:dyDescent="0.25">
      <c r="A23" s="43"/>
      <c r="B23" s="32"/>
      <c r="C23" s="27"/>
      <c r="D23" s="27"/>
      <c r="E23" s="27"/>
      <c r="F23" s="27"/>
      <c r="G23" s="27"/>
      <c r="H23" s="27"/>
      <c r="I23" s="27"/>
      <c r="J23" s="27"/>
      <c r="K23" s="27"/>
      <c r="L23" s="27"/>
      <c r="M23" s="27"/>
      <c r="N23" s="27"/>
    </row>
    <row r="24" spans="1:14" x14ac:dyDescent="0.25">
      <c r="A24" s="27"/>
      <c r="B24" s="32"/>
      <c r="C24" s="27"/>
      <c r="D24" s="27"/>
      <c r="E24" s="27"/>
      <c r="F24" s="27"/>
      <c r="G24" s="27"/>
      <c r="H24" s="27"/>
      <c r="I24" s="27"/>
      <c r="J24" s="27"/>
      <c r="K24" s="27"/>
      <c r="L24" s="27"/>
      <c r="M24" s="27"/>
      <c r="N24" s="27"/>
    </row>
    <row r="25" spans="1:14" x14ac:dyDescent="0.25">
      <c r="A25" s="27"/>
      <c r="B25" s="27"/>
      <c r="C25" s="27"/>
      <c r="D25" s="27"/>
      <c r="E25" s="27"/>
      <c r="F25" s="27"/>
      <c r="G25" s="27"/>
      <c r="H25" s="27"/>
      <c r="I25" s="27"/>
      <c r="J25" s="27"/>
      <c r="K25" s="27"/>
      <c r="L25" s="27"/>
      <c r="M25" s="27"/>
      <c r="N25" s="27"/>
    </row>
    <row r="26" spans="1:14" x14ac:dyDescent="0.25">
      <c r="A26" s="27"/>
      <c r="B26" s="27"/>
      <c r="C26" s="27"/>
      <c r="D26" s="27"/>
      <c r="E26" s="27"/>
      <c r="F26" s="27"/>
      <c r="G26" s="27"/>
      <c r="H26" s="27"/>
      <c r="I26" s="27"/>
      <c r="J26" s="27"/>
      <c r="K26" s="27"/>
      <c r="L26" s="27"/>
      <c r="M26" s="27"/>
      <c r="N26" s="27"/>
    </row>
    <row r="27" spans="1:14" x14ac:dyDescent="0.25">
      <c r="A27" s="27"/>
      <c r="B27" s="27"/>
      <c r="C27" s="27"/>
      <c r="D27" s="27"/>
      <c r="E27" s="27"/>
      <c r="F27" s="27"/>
      <c r="G27" s="27"/>
      <c r="H27" s="27"/>
      <c r="I27" s="27"/>
      <c r="J27" s="27"/>
      <c r="K27" s="27"/>
      <c r="L27" s="27"/>
      <c r="M27" s="27"/>
      <c r="N27" s="27"/>
    </row>
    <row r="28" spans="1:14" x14ac:dyDescent="0.25">
      <c r="A28" s="27"/>
      <c r="B28" s="27"/>
      <c r="C28" s="27"/>
      <c r="D28" s="27"/>
      <c r="E28" s="27"/>
      <c r="F28" s="27"/>
      <c r="G28" s="27"/>
      <c r="H28" s="27"/>
      <c r="I28" s="27"/>
      <c r="J28" s="27"/>
      <c r="K28" s="27"/>
      <c r="L28" s="27"/>
      <c r="M28" s="27"/>
      <c r="N28" s="27"/>
    </row>
    <row r="29" spans="1:14" x14ac:dyDescent="0.25">
      <c r="A29" s="27"/>
      <c r="B29" s="27"/>
      <c r="C29" s="27"/>
      <c r="D29" s="27"/>
      <c r="E29" s="27"/>
      <c r="F29" s="27"/>
      <c r="G29" s="27"/>
      <c r="H29" s="27"/>
      <c r="I29" s="27"/>
      <c r="J29" s="27"/>
      <c r="K29" s="27"/>
      <c r="L29" s="27"/>
      <c r="M29" s="27"/>
      <c r="N29" s="27"/>
    </row>
    <row r="30" spans="1:14" x14ac:dyDescent="0.25">
      <c r="A30" s="27"/>
      <c r="B30" s="27"/>
      <c r="C30" s="27"/>
      <c r="D30" s="27"/>
      <c r="E30" s="27"/>
      <c r="F30" s="27"/>
      <c r="G30" s="27"/>
      <c r="H30" s="27"/>
      <c r="I30" s="27"/>
      <c r="J30" s="27"/>
      <c r="K30" s="27"/>
      <c r="L30" s="27"/>
      <c r="M30" s="27"/>
      <c r="N30" s="27"/>
    </row>
    <row r="31" spans="1:14" x14ac:dyDescent="0.25">
      <c r="A31" s="27"/>
      <c r="B31" s="27"/>
      <c r="C31" s="27"/>
      <c r="D31" s="27"/>
      <c r="E31" s="27"/>
      <c r="F31" s="27"/>
      <c r="G31" s="27"/>
      <c r="H31" s="27"/>
      <c r="I31" s="27"/>
      <c r="J31" s="27"/>
      <c r="K31" s="27"/>
      <c r="L31" s="27"/>
      <c r="M31" s="27"/>
      <c r="N31" s="27"/>
    </row>
    <row r="32" spans="1:14" x14ac:dyDescent="0.25">
      <c r="A32" s="27"/>
      <c r="B32" s="27"/>
      <c r="C32" s="27"/>
      <c r="D32" s="27"/>
      <c r="E32" s="27"/>
      <c r="F32" s="27"/>
      <c r="G32" s="27"/>
      <c r="H32" s="27"/>
      <c r="I32" s="27"/>
      <c r="J32" s="27"/>
      <c r="K32" s="27"/>
      <c r="L32" s="27"/>
      <c r="M32" s="27"/>
      <c r="N32" s="27"/>
    </row>
    <row r="33" spans="1:14" x14ac:dyDescent="0.25">
      <c r="A33" s="27"/>
      <c r="B33" s="27"/>
      <c r="C33" s="27"/>
      <c r="D33" s="27"/>
      <c r="E33" s="27"/>
      <c r="F33" s="27"/>
      <c r="G33" s="27"/>
      <c r="H33" s="27"/>
      <c r="I33" s="27"/>
      <c r="J33" s="27"/>
      <c r="K33" s="27"/>
      <c r="L33" s="27"/>
      <c r="M33" s="27"/>
      <c r="N33" s="27"/>
    </row>
    <row r="34" spans="1:14" x14ac:dyDescent="0.25">
      <c r="A34" s="31"/>
    </row>
    <row r="35" spans="1:14" x14ac:dyDescent="0.25">
      <c r="A35" s="31"/>
    </row>
    <row r="36" spans="1:14" x14ac:dyDescent="0.25">
      <c r="A36" s="31"/>
    </row>
    <row r="37" spans="1:14" x14ac:dyDescent="0.25">
      <c r="A37" s="31"/>
    </row>
  </sheetData>
  <pageMargins left="0.7" right="0.7" top="0.75" bottom="0.75" header="0.3" footer="0.3"/>
  <pageSetup paperSize="17" orientation="landscape" verticalDpi="0"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H63"/>
  <sheetViews>
    <sheetView zoomScale="70" zoomScaleNormal="70" workbookViewId="0">
      <pane ySplit="11" topLeftCell="A12" activePane="bottomLeft" state="frozen"/>
      <selection pane="bottomLeft"/>
    </sheetView>
  </sheetViews>
  <sheetFormatPr defaultColWidth="9.140625" defaultRowHeight="15.75" x14ac:dyDescent="0.25"/>
  <cols>
    <col min="1" max="1" width="47.7109375" style="55" customWidth="1"/>
    <col min="2" max="2" width="16.42578125" style="324" customWidth="1"/>
    <col min="3" max="3" width="50.140625" style="55" customWidth="1"/>
    <col min="4" max="4" width="128.85546875" style="55" customWidth="1"/>
    <col min="5" max="5" width="16.7109375" style="55" bestFit="1" customWidth="1"/>
    <col min="6" max="6" width="15" style="55" bestFit="1" customWidth="1"/>
    <col min="7" max="7" width="13.5703125" style="55" bestFit="1" customWidth="1"/>
    <col min="8" max="8" width="12" style="55" bestFit="1" customWidth="1"/>
    <col min="9" max="16384" width="9.140625" style="55"/>
  </cols>
  <sheetData>
    <row r="1" spans="1:8" ht="21" x14ac:dyDescent="0.35">
      <c r="A1" s="521" t="s">
        <v>61</v>
      </c>
      <c r="B1" s="147"/>
      <c r="C1" s="120"/>
      <c r="D1" s="120"/>
    </row>
    <row r="2" spans="1:8" ht="18" customHeight="1" x14ac:dyDescent="0.3">
      <c r="A2" s="520" t="s">
        <v>148</v>
      </c>
      <c r="B2" s="147"/>
      <c r="C2" s="120"/>
      <c r="D2" s="120"/>
    </row>
    <row r="3" spans="1:8" s="94" customFormat="1" ht="16.5" thickBot="1" x14ac:dyDescent="0.3">
      <c r="B3" s="322"/>
    </row>
    <row r="4" spans="1:8" s="94" customFormat="1" ht="54" customHeight="1" thickTop="1" thickBot="1" x14ac:dyDescent="0.3">
      <c r="A4" s="656" t="s">
        <v>368</v>
      </c>
      <c r="B4" s="657"/>
      <c r="C4" s="657"/>
      <c r="D4" s="657"/>
    </row>
    <row r="5" spans="1:8" s="94" customFormat="1" ht="11.25" customHeight="1" thickTop="1" x14ac:dyDescent="0.25">
      <c r="B5" s="322"/>
    </row>
    <row r="6" spans="1:8" s="94" customFormat="1" ht="18.75" x14ac:dyDescent="0.3">
      <c r="A6" s="528" t="s">
        <v>272</v>
      </c>
      <c r="B6" s="323"/>
      <c r="C6" s="257"/>
      <c r="D6" s="257"/>
    </row>
    <row r="7" spans="1:8" s="94" customFormat="1" ht="85.5" customHeight="1" x14ac:dyDescent="0.25">
      <c r="A7" s="653" t="s">
        <v>500</v>
      </c>
      <c r="B7" s="654"/>
      <c r="C7" s="654"/>
      <c r="D7" s="654"/>
    </row>
    <row r="8" spans="1:8" s="94" customFormat="1" x14ac:dyDescent="0.25">
      <c r="A8" s="270"/>
      <c r="B8" s="270"/>
      <c r="C8" s="270"/>
      <c r="D8" s="270"/>
    </row>
    <row r="9" spans="1:8" s="94" customFormat="1" x14ac:dyDescent="0.25">
      <c r="A9" s="547" t="s">
        <v>443</v>
      </c>
      <c r="B9" s="213"/>
      <c r="C9" s="147"/>
      <c r="D9" s="213"/>
    </row>
    <row r="10" spans="1:8" s="94" customFormat="1" x14ac:dyDescent="0.25">
      <c r="A10" s="211"/>
      <c r="B10" s="212"/>
      <c r="C10" s="207"/>
      <c r="D10" s="212"/>
    </row>
    <row r="11" spans="1:8" s="250" customFormat="1" x14ac:dyDescent="0.25">
      <c r="A11" s="359" t="s">
        <v>313</v>
      </c>
      <c r="B11" s="342" t="s">
        <v>271</v>
      </c>
      <c r="C11" s="182" t="s">
        <v>293</v>
      </c>
      <c r="D11" s="182" t="s">
        <v>310</v>
      </c>
      <c r="E11" s="218"/>
      <c r="F11" s="218"/>
      <c r="G11" s="218"/>
      <c r="H11" s="218"/>
    </row>
    <row r="12" spans="1:8" ht="63" x14ac:dyDescent="0.25">
      <c r="A12" s="404" t="s">
        <v>115</v>
      </c>
      <c r="B12" s="454">
        <v>800000000</v>
      </c>
      <c r="C12" s="451" t="s">
        <v>270</v>
      </c>
      <c r="D12" s="452" t="s">
        <v>306</v>
      </c>
      <c r="E12" s="263"/>
      <c r="F12" s="133"/>
      <c r="G12" s="133"/>
      <c r="H12" s="133"/>
    </row>
    <row r="13" spans="1:8" x14ac:dyDescent="0.25">
      <c r="A13" s="442" t="s">
        <v>109</v>
      </c>
      <c r="B13" s="455">
        <v>300</v>
      </c>
      <c r="C13" s="452" t="s">
        <v>306</v>
      </c>
      <c r="D13" s="452" t="s">
        <v>306</v>
      </c>
      <c r="E13" s="133"/>
      <c r="F13" s="133"/>
      <c r="G13" s="133"/>
      <c r="H13" s="133"/>
    </row>
    <row r="14" spans="1:8" x14ac:dyDescent="0.25">
      <c r="A14" s="444" t="s">
        <v>106</v>
      </c>
      <c r="B14" s="456">
        <v>20</v>
      </c>
      <c r="C14" s="452" t="s">
        <v>306</v>
      </c>
      <c r="D14" s="452" t="s">
        <v>306</v>
      </c>
      <c r="E14" s="263"/>
      <c r="F14" s="133"/>
      <c r="G14" s="133"/>
      <c r="H14" s="133"/>
    </row>
    <row r="15" spans="1:8" ht="31.5" x14ac:dyDescent="0.25">
      <c r="A15" s="444" t="s">
        <v>213</v>
      </c>
      <c r="B15" s="456">
        <v>3</v>
      </c>
      <c r="C15" s="452" t="s">
        <v>306</v>
      </c>
      <c r="D15" s="452" t="s">
        <v>306</v>
      </c>
      <c r="E15" s="263"/>
      <c r="F15" s="133"/>
      <c r="G15" s="133"/>
      <c r="H15" s="133"/>
    </row>
    <row r="16" spans="1:8" ht="126" x14ac:dyDescent="0.25">
      <c r="A16" s="412" t="s">
        <v>196</v>
      </c>
      <c r="B16" s="456">
        <v>3</v>
      </c>
      <c r="C16" s="452" t="s">
        <v>306</v>
      </c>
      <c r="D16" s="452" t="s">
        <v>373</v>
      </c>
      <c r="E16" s="263"/>
      <c r="F16" s="133"/>
      <c r="G16" s="133"/>
      <c r="H16" s="133"/>
    </row>
    <row r="17" spans="1:8" ht="31.5" x14ac:dyDescent="0.25">
      <c r="A17" s="412" t="s">
        <v>146</v>
      </c>
      <c r="B17" s="454">
        <v>65</v>
      </c>
      <c r="C17" s="453" t="s">
        <v>210</v>
      </c>
      <c r="D17" s="452" t="s">
        <v>306</v>
      </c>
      <c r="E17" s="263"/>
      <c r="F17" s="133"/>
      <c r="G17" s="133"/>
      <c r="H17" s="133"/>
    </row>
    <row r="18" spans="1:8" x14ac:dyDescent="0.25">
      <c r="A18" s="441" t="s">
        <v>117</v>
      </c>
      <c r="B18" s="454">
        <v>1000000</v>
      </c>
      <c r="C18" s="452" t="s">
        <v>306</v>
      </c>
      <c r="D18" s="452" t="s">
        <v>306</v>
      </c>
      <c r="E18" s="133"/>
      <c r="F18" s="133"/>
      <c r="G18" s="133"/>
      <c r="H18" s="133"/>
    </row>
    <row r="19" spans="1:8" ht="78.75" x14ac:dyDescent="0.25">
      <c r="A19" s="442" t="s">
        <v>197</v>
      </c>
      <c r="B19" s="457">
        <v>0.02</v>
      </c>
      <c r="C19" s="452" t="s">
        <v>369</v>
      </c>
      <c r="D19" s="452" t="s">
        <v>306</v>
      </c>
      <c r="E19" s="264"/>
      <c r="F19" s="133"/>
      <c r="G19" s="133"/>
      <c r="H19" s="133"/>
    </row>
    <row r="20" spans="1:8" ht="31.5" x14ac:dyDescent="0.25">
      <c r="A20" s="460" t="s">
        <v>118</v>
      </c>
      <c r="B20" s="454">
        <v>5000000</v>
      </c>
      <c r="C20" s="452" t="s">
        <v>306</v>
      </c>
      <c r="D20" s="452" t="s">
        <v>306</v>
      </c>
      <c r="E20" s="133"/>
      <c r="F20" s="133"/>
      <c r="G20" s="133"/>
      <c r="H20" s="133"/>
    </row>
    <row r="21" spans="1:8" ht="47.25" x14ac:dyDescent="0.25">
      <c r="A21" s="412" t="s">
        <v>198</v>
      </c>
      <c r="B21" s="457">
        <v>0.02</v>
      </c>
      <c r="C21" s="452" t="s">
        <v>370</v>
      </c>
      <c r="D21" s="452" t="s">
        <v>306</v>
      </c>
      <c r="E21" s="133"/>
      <c r="F21" s="133"/>
      <c r="G21" s="133"/>
      <c r="H21" s="133"/>
    </row>
    <row r="22" spans="1:8" ht="94.5" x14ac:dyDescent="0.25">
      <c r="A22" s="441" t="s">
        <v>110</v>
      </c>
      <c r="B22" s="458">
        <v>1000</v>
      </c>
      <c r="C22" s="452" t="s">
        <v>371</v>
      </c>
      <c r="D22" s="452" t="s">
        <v>374</v>
      </c>
      <c r="E22" s="133"/>
      <c r="F22" s="133"/>
      <c r="G22" s="133"/>
      <c r="H22" s="133"/>
    </row>
    <row r="23" spans="1:8" ht="47.25" x14ac:dyDescent="0.25">
      <c r="A23" s="412" t="s">
        <v>114</v>
      </c>
      <c r="B23" s="459">
        <v>0.25</v>
      </c>
      <c r="C23" s="451" t="s">
        <v>372</v>
      </c>
      <c r="D23" s="452" t="s">
        <v>306</v>
      </c>
      <c r="E23" s="133"/>
      <c r="F23" s="133"/>
      <c r="G23" s="133"/>
      <c r="H23" s="133"/>
    </row>
    <row r="24" spans="1:8" s="94" customFormat="1" x14ac:dyDescent="0.25">
      <c r="B24" s="322"/>
    </row>
    <row r="27" spans="1:8" x14ac:dyDescent="0.25">
      <c r="A27" s="117"/>
      <c r="B27" s="192"/>
      <c r="C27" s="117"/>
      <c r="D27" s="117"/>
    </row>
    <row r="28" spans="1:8" x14ac:dyDescent="0.25">
      <c r="A28" s="117"/>
      <c r="B28" s="192"/>
      <c r="C28" s="117"/>
      <c r="D28" s="117"/>
    </row>
    <row r="29" spans="1:8" x14ac:dyDescent="0.25">
      <c r="A29" s="117"/>
      <c r="B29" s="192"/>
      <c r="C29" s="117"/>
      <c r="D29" s="117"/>
    </row>
    <row r="30" spans="1:8" x14ac:dyDescent="0.25">
      <c r="A30" s="117"/>
      <c r="B30" s="192"/>
      <c r="C30" s="117"/>
      <c r="D30" s="117"/>
    </row>
    <row r="31" spans="1:8" x14ac:dyDescent="0.25">
      <c r="A31" s="117"/>
      <c r="B31" s="192"/>
      <c r="C31" s="117"/>
      <c r="D31" s="117"/>
    </row>
    <row r="32" spans="1:8" x14ac:dyDescent="0.25">
      <c r="A32" s="58"/>
      <c r="B32" s="203"/>
      <c r="C32" s="189"/>
      <c r="D32" s="133"/>
    </row>
    <row r="33" spans="1:4" x14ac:dyDescent="0.25">
      <c r="A33" s="117"/>
      <c r="B33" s="192"/>
      <c r="C33" s="117"/>
      <c r="D33" s="117"/>
    </row>
    <row r="34" spans="1:4" x14ac:dyDescent="0.25">
      <c r="A34" s="117"/>
      <c r="B34" s="192"/>
      <c r="C34" s="117"/>
      <c r="D34" s="117"/>
    </row>
    <row r="35" spans="1:4" x14ac:dyDescent="0.25">
      <c r="A35" s="117"/>
      <c r="B35" s="192"/>
      <c r="C35" s="117"/>
      <c r="D35" s="117"/>
    </row>
    <row r="36" spans="1:4" x14ac:dyDescent="0.25">
      <c r="A36" s="117"/>
      <c r="B36" s="192"/>
      <c r="C36" s="117"/>
      <c r="D36" s="117"/>
    </row>
    <row r="37" spans="1:4" x14ac:dyDescent="0.25">
      <c r="A37" s="117"/>
      <c r="B37" s="192"/>
      <c r="C37" s="117"/>
      <c r="D37" s="117"/>
    </row>
    <row r="38" spans="1:4" x14ac:dyDescent="0.25">
      <c r="A38" s="117"/>
      <c r="B38" s="192"/>
      <c r="C38" s="117"/>
      <c r="D38" s="117"/>
    </row>
    <row r="47" spans="1:4" customFormat="1" ht="23.45" customHeight="1" x14ac:dyDescent="0.25">
      <c r="B47" s="325"/>
    </row>
    <row r="62" spans="1:4" x14ac:dyDescent="0.25">
      <c r="A62" s="145"/>
      <c r="B62" s="326"/>
      <c r="C62" s="145"/>
      <c r="D62" s="145"/>
    </row>
    <row r="63" spans="1:4" x14ac:dyDescent="0.25">
      <c r="A63" s="145"/>
      <c r="B63" s="327"/>
      <c r="C63" s="171"/>
      <c r="D63" s="145"/>
    </row>
  </sheetData>
  <sheetProtection insertColumns="0" insertRows="0" selectLockedCells="1"/>
  <mergeCells count="2">
    <mergeCell ref="A4:D4"/>
    <mergeCell ref="A7:D7"/>
  </mergeCells>
  <pageMargins left="0.7" right="0.7" top="0.75" bottom="0.75" header="0.3" footer="0.3"/>
  <pageSetup paperSize="17" scale="80" fitToWidth="0" fitToHeight="0" orientation="landscape" verticalDpi="1200" r:id="rId1"/>
  <tableParts count="1">
    <tablePart r:id="rId2"/>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O15"/>
  <sheetViews>
    <sheetView zoomScale="70" zoomScaleNormal="70" workbookViewId="0">
      <pane ySplit="11" topLeftCell="A12" activePane="bottomLeft" state="frozen"/>
      <selection pane="bottomLeft" activeCell="B6" sqref="B6"/>
    </sheetView>
  </sheetViews>
  <sheetFormatPr defaultRowHeight="15" x14ac:dyDescent="0.25"/>
  <cols>
    <col min="1" max="1" width="48.28515625" customWidth="1"/>
    <col min="2" max="2" width="63.7109375" customWidth="1"/>
    <col min="3" max="10" width="21.85546875" customWidth="1"/>
  </cols>
  <sheetData>
    <row r="1" spans="1:15" ht="21" x14ac:dyDescent="0.35">
      <c r="A1" s="521" t="s">
        <v>61</v>
      </c>
      <c r="B1" s="120"/>
      <c r="C1" s="120"/>
      <c r="D1" s="120"/>
      <c r="E1" s="120"/>
      <c r="F1" s="120"/>
      <c r="G1" s="120"/>
      <c r="H1" s="120"/>
      <c r="I1" s="120"/>
      <c r="J1" s="120"/>
    </row>
    <row r="2" spans="1:15" ht="18.75" x14ac:dyDescent="0.3">
      <c r="A2" s="520" t="s">
        <v>148</v>
      </c>
      <c r="B2" s="120"/>
      <c r="C2" s="120"/>
      <c r="D2" s="120"/>
      <c r="E2" s="120"/>
      <c r="F2" s="120"/>
      <c r="G2" s="120"/>
      <c r="H2" s="120"/>
      <c r="I2" s="120"/>
      <c r="J2" s="120"/>
    </row>
    <row r="3" spans="1:15" ht="16.5" thickBot="1" x14ac:dyDescent="0.3">
      <c r="A3" s="94"/>
      <c r="B3" s="94"/>
      <c r="C3" s="94"/>
      <c r="D3" s="94"/>
      <c r="E3" s="94"/>
      <c r="F3" s="94"/>
      <c r="G3" s="94"/>
      <c r="H3" s="94"/>
      <c r="I3" s="94"/>
      <c r="J3" s="94"/>
    </row>
    <row r="4" spans="1:15" ht="63" customHeight="1" thickTop="1" thickBot="1" x14ac:dyDescent="0.3">
      <c r="A4" s="656" t="s">
        <v>368</v>
      </c>
      <c r="B4" s="657"/>
      <c r="C4" s="657"/>
      <c r="D4" s="657"/>
      <c r="E4" s="657"/>
      <c r="F4" s="657"/>
      <c r="G4" s="657"/>
      <c r="H4" s="657"/>
      <c r="I4" s="657"/>
      <c r="J4" s="658"/>
    </row>
    <row r="5" spans="1:15" ht="15.75" thickTop="1" x14ac:dyDescent="0.25"/>
    <row r="6" spans="1:15" ht="18.75" x14ac:dyDescent="0.3">
      <c r="A6" s="528" t="s">
        <v>272</v>
      </c>
      <c r="B6" s="311"/>
      <c r="C6" s="311"/>
      <c r="D6" s="311"/>
      <c r="E6" s="311"/>
      <c r="F6" s="673"/>
      <c r="G6" s="673"/>
      <c r="H6" s="673"/>
      <c r="I6" s="673"/>
      <c r="J6" s="673"/>
    </row>
    <row r="7" spans="1:15" ht="85.5" customHeight="1" x14ac:dyDescent="0.25">
      <c r="A7" s="653" t="s">
        <v>501</v>
      </c>
      <c r="B7" s="654"/>
      <c r="C7" s="654"/>
      <c r="D7" s="654"/>
      <c r="E7" s="654"/>
      <c r="F7" s="654"/>
      <c r="G7" s="654"/>
      <c r="H7" s="654"/>
      <c r="I7" s="654"/>
      <c r="J7" s="655"/>
    </row>
    <row r="9" spans="1:15" s="94" customFormat="1" ht="15.75" x14ac:dyDescent="0.25">
      <c r="A9" s="554" t="s">
        <v>450</v>
      </c>
    </row>
    <row r="11" spans="1:15" s="55" customFormat="1" ht="31.5" x14ac:dyDescent="0.25">
      <c r="A11" s="357" t="s">
        <v>311</v>
      </c>
      <c r="B11" s="357" t="s">
        <v>312</v>
      </c>
      <c r="C11" s="367" t="s">
        <v>264</v>
      </c>
      <c r="D11" s="354" t="s">
        <v>315</v>
      </c>
      <c r="E11" s="346" t="s">
        <v>316</v>
      </c>
      <c r="F11" s="346" t="s">
        <v>317</v>
      </c>
      <c r="G11" s="346" t="s">
        <v>318</v>
      </c>
      <c r="H11" s="346" t="s">
        <v>319</v>
      </c>
      <c r="I11" s="346" t="s">
        <v>320</v>
      </c>
      <c r="J11" s="347" t="s">
        <v>321</v>
      </c>
      <c r="L11" s="61"/>
      <c r="M11" s="61"/>
      <c r="N11" s="61"/>
      <c r="O11" s="61"/>
    </row>
    <row r="12" spans="1:15" s="55" customFormat="1" ht="94.5" x14ac:dyDescent="0.25">
      <c r="A12" s="404" t="s">
        <v>164</v>
      </c>
      <c r="B12" s="403" t="s">
        <v>375</v>
      </c>
      <c r="C12" s="401">
        <f>'PCM - Inputs 1'!B16*'PCM - Inputs 1'!B15*'PCM - Inputs 1'!B14*'PCM - Inputs 1'!B17*'PCM - Inputs 1'!B13</f>
        <v>3510000</v>
      </c>
      <c r="D12" s="398">
        <v>0</v>
      </c>
      <c r="E12" s="398">
        <v>0</v>
      </c>
      <c r="F12" s="398">
        <v>0.25</v>
      </c>
      <c r="G12" s="400">
        <v>0.75</v>
      </c>
      <c r="H12" s="398">
        <v>0.85</v>
      </c>
      <c r="I12" s="398">
        <v>1</v>
      </c>
      <c r="J12" s="398">
        <v>1</v>
      </c>
      <c r="K12" s="61"/>
      <c r="M12" s="61"/>
      <c r="N12" s="61"/>
      <c r="O12" s="61"/>
    </row>
    <row r="13" spans="1:15" s="55" customFormat="1" ht="41.45" customHeight="1" x14ac:dyDescent="0.25">
      <c r="A13" s="404" t="s">
        <v>63</v>
      </c>
      <c r="B13" s="402" t="s">
        <v>376</v>
      </c>
      <c r="C13" s="388">
        <f>'PCM - Inputs 1'!B18*'PCM - Inputs 1'!B19</f>
        <v>20000</v>
      </c>
      <c r="D13" s="398">
        <v>0</v>
      </c>
      <c r="E13" s="398">
        <v>0</v>
      </c>
      <c r="F13" s="398">
        <v>0.25</v>
      </c>
      <c r="G13" s="400">
        <v>0.75</v>
      </c>
      <c r="H13" s="398">
        <v>0.85</v>
      </c>
      <c r="I13" s="398">
        <v>1</v>
      </c>
      <c r="J13" s="398">
        <v>1</v>
      </c>
      <c r="K13" s="59"/>
      <c r="M13" s="58"/>
      <c r="N13" s="58"/>
      <c r="O13" s="20"/>
    </row>
    <row r="14" spans="1:15" s="55" customFormat="1" ht="42.6" customHeight="1" x14ac:dyDescent="0.25">
      <c r="A14" s="404" t="s">
        <v>165</v>
      </c>
      <c r="B14" s="450" t="s">
        <v>377</v>
      </c>
      <c r="C14" s="388">
        <f>'PCM - Inputs 1'!B20*'PCM - Inputs 1'!B21</f>
        <v>100000</v>
      </c>
      <c r="D14" s="398">
        <v>0</v>
      </c>
      <c r="E14" s="398">
        <v>0</v>
      </c>
      <c r="F14" s="398">
        <v>0.25</v>
      </c>
      <c r="G14" s="400">
        <v>0.75</v>
      </c>
      <c r="H14" s="398">
        <v>0.85</v>
      </c>
      <c r="I14" s="398">
        <v>1</v>
      </c>
      <c r="J14" s="398">
        <v>1</v>
      </c>
      <c r="L14" s="58"/>
      <c r="M14" s="58"/>
      <c r="N14" s="58"/>
      <c r="O14" s="20"/>
    </row>
    <row r="15" spans="1:15" s="55" customFormat="1" ht="34.9" customHeight="1" x14ac:dyDescent="0.25">
      <c r="A15" s="404" t="s">
        <v>64</v>
      </c>
      <c r="B15" s="406" t="s">
        <v>378</v>
      </c>
      <c r="C15" s="388">
        <f>'PCM - Inputs 1'!B22*'PCM - Inputs 1'!B13*'PCM - Inputs 1'!B23</f>
        <v>75000</v>
      </c>
      <c r="D15" s="398">
        <v>0</v>
      </c>
      <c r="E15" s="398">
        <v>0</v>
      </c>
      <c r="F15" s="398">
        <v>0.25</v>
      </c>
      <c r="G15" s="400">
        <v>0.75</v>
      </c>
      <c r="H15" s="398">
        <v>0.85</v>
      </c>
      <c r="I15" s="398">
        <v>1</v>
      </c>
      <c r="J15" s="398">
        <v>1</v>
      </c>
      <c r="L15" s="20"/>
      <c r="M15" s="20"/>
      <c r="N15" s="20"/>
      <c r="O15" s="20"/>
    </row>
  </sheetData>
  <mergeCells count="3">
    <mergeCell ref="A4:J4"/>
    <mergeCell ref="F6:J6"/>
    <mergeCell ref="A7:J7"/>
  </mergeCells>
  <pageMargins left="0.7" right="0.7" top="0.75" bottom="0.75" header="0.3" footer="0.3"/>
  <pageSetup paperSize="17" scale="65" orientation="landscape" verticalDpi="0" r:id="rId1"/>
  <tableParts count="1">
    <tablePart r:id="rId2"/>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F19"/>
  <sheetViews>
    <sheetView zoomScale="70" zoomScaleNormal="70" zoomScaleSheetLayoutView="50" workbookViewId="0">
      <pane ySplit="11" topLeftCell="A12" activePane="bottomLeft" state="frozen"/>
      <selection pane="bottomLeft" activeCell="E19" sqref="E19"/>
    </sheetView>
  </sheetViews>
  <sheetFormatPr defaultRowHeight="15" x14ac:dyDescent="0.25"/>
  <cols>
    <col min="1" max="1" width="61.7109375" customWidth="1"/>
    <col min="2" max="2" width="20.7109375" customWidth="1"/>
    <col min="3" max="3" width="11.140625" customWidth="1"/>
    <col min="4" max="4" width="16" customWidth="1"/>
    <col min="5" max="5" width="19.28515625" customWidth="1"/>
    <col min="6" max="6" width="58.85546875" customWidth="1"/>
  </cols>
  <sheetData>
    <row r="1" spans="1:6" ht="21" x14ac:dyDescent="0.35">
      <c r="A1" s="521" t="s">
        <v>61</v>
      </c>
      <c r="B1" s="120"/>
      <c r="C1" s="120"/>
      <c r="D1" s="120"/>
      <c r="E1" s="120"/>
      <c r="F1" s="120"/>
    </row>
    <row r="2" spans="1:6" ht="18.75" x14ac:dyDescent="0.3">
      <c r="A2" s="520" t="s">
        <v>148</v>
      </c>
      <c r="B2" s="120"/>
      <c r="C2" s="120"/>
      <c r="D2" s="120"/>
      <c r="E2" s="120"/>
      <c r="F2" s="120"/>
    </row>
    <row r="3" spans="1:6" ht="16.5" thickBot="1" x14ac:dyDescent="0.3">
      <c r="A3" s="94"/>
      <c r="B3" s="94"/>
      <c r="C3" s="94"/>
      <c r="D3" s="94"/>
      <c r="E3" s="94"/>
      <c r="F3" s="94"/>
    </row>
    <row r="4" spans="1:6" ht="66.75" customHeight="1" thickTop="1" thickBot="1" x14ac:dyDescent="0.3">
      <c r="A4" s="656" t="s">
        <v>368</v>
      </c>
      <c r="B4" s="657"/>
      <c r="C4" s="657"/>
      <c r="D4" s="657"/>
      <c r="E4" s="657"/>
      <c r="F4" s="658"/>
    </row>
    <row r="5" spans="1:6" ht="15.75" thickTop="1" x14ac:dyDescent="0.25"/>
    <row r="6" spans="1:6" s="55" customFormat="1" ht="18.75" x14ac:dyDescent="0.25">
      <c r="A6" s="534" t="s">
        <v>60</v>
      </c>
      <c r="B6" s="318"/>
      <c r="C6" s="318"/>
      <c r="D6" s="318"/>
      <c r="E6" s="318"/>
      <c r="F6" s="319"/>
    </row>
    <row r="7" spans="1:6" s="55" customFormat="1" ht="165.75" customHeight="1" x14ac:dyDescent="0.25">
      <c r="A7" s="653" t="s">
        <v>502</v>
      </c>
      <c r="B7" s="654"/>
      <c r="C7" s="654"/>
      <c r="D7" s="654"/>
      <c r="E7" s="654"/>
      <c r="F7" s="655"/>
    </row>
    <row r="8" spans="1:6" s="55" customFormat="1" ht="17.25" customHeight="1" x14ac:dyDescent="0.25">
      <c r="A8" s="265"/>
      <c r="B8" s="265"/>
      <c r="C8" s="265"/>
      <c r="D8" s="265"/>
      <c r="E8" s="265"/>
      <c r="F8" s="265"/>
    </row>
    <row r="9" spans="1:6" s="55" customFormat="1" ht="15.75" x14ac:dyDescent="0.25">
      <c r="A9" s="549" t="s">
        <v>504</v>
      </c>
      <c r="B9" s="205"/>
      <c r="C9" s="205"/>
      <c r="D9" s="205"/>
      <c r="E9" s="205"/>
      <c r="F9" s="205"/>
    </row>
    <row r="10" spans="1:6" s="55" customFormat="1" ht="15.75" x14ac:dyDescent="0.25">
      <c r="A10" s="206"/>
      <c r="B10" s="206"/>
      <c r="C10" s="206"/>
      <c r="D10" s="206"/>
      <c r="E10" s="206"/>
      <c r="F10" s="206"/>
    </row>
    <row r="11" spans="1:6" s="249" customFormat="1" ht="33" customHeight="1" x14ac:dyDescent="0.25">
      <c r="A11" s="334" t="s">
        <v>295</v>
      </c>
      <c r="B11" s="335" t="s">
        <v>296</v>
      </c>
      <c r="C11" s="335" t="s">
        <v>297</v>
      </c>
      <c r="D11" s="335" t="s">
        <v>298</v>
      </c>
      <c r="E11" s="335" t="s">
        <v>299</v>
      </c>
      <c r="F11" s="336" t="s">
        <v>280</v>
      </c>
    </row>
    <row r="12" spans="1:6" s="55" customFormat="1" ht="15" customHeight="1" x14ac:dyDescent="0.25">
      <c r="A12" s="396" t="s">
        <v>199</v>
      </c>
      <c r="B12" s="381">
        <v>1</v>
      </c>
      <c r="C12" s="448">
        <v>1</v>
      </c>
      <c r="D12" s="392">
        <v>75000</v>
      </c>
      <c r="E12" s="398">
        <v>0.8</v>
      </c>
      <c r="F12" s="388">
        <f t="shared" ref="F12:F17" si="0">B12*C12*(D12*(1+E12))</f>
        <v>135000</v>
      </c>
    </row>
    <row r="13" spans="1:6" s="55" customFormat="1" ht="15.75" x14ac:dyDescent="0.25">
      <c r="A13" s="396" t="s">
        <v>200</v>
      </c>
      <c r="B13" s="381">
        <v>1</v>
      </c>
      <c r="C13" s="448">
        <v>0.5</v>
      </c>
      <c r="D13" s="392">
        <v>75000</v>
      </c>
      <c r="E13" s="398">
        <v>0.8</v>
      </c>
      <c r="F13" s="388">
        <f t="shared" si="0"/>
        <v>67500</v>
      </c>
    </row>
    <row r="14" spans="1:6" s="55" customFormat="1" ht="15.75" x14ac:dyDescent="0.25">
      <c r="A14" s="396" t="s">
        <v>201</v>
      </c>
      <c r="B14" s="381">
        <v>1</v>
      </c>
      <c r="C14" s="448">
        <v>0.5</v>
      </c>
      <c r="D14" s="392">
        <v>75000</v>
      </c>
      <c r="E14" s="398">
        <v>0.8</v>
      </c>
      <c r="F14" s="388">
        <f t="shared" si="0"/>
        <v>67500</v>
      </c>
    </row>
    <row r="15" spans="1:6" s="55" customFormat="1" ht="15.75" x14ac:dyDescent="0.25">
      <c r="A15" s="396" t="s">
        <v>202</v>
      </c>
      <c r="B15" s="381">
        <v>1</v>
      </c>
      <c r="C15" s="448">
        <v>1</v>
      </c>
      <c r="D15" s="392">
        <v>75000</v>
      </c>
      <c r="E15" s="398">
        <v>0.8</v>
      </c>
      <c r="F15" s="388">
        <f t="shared" si="0"/>
        <v>135000</v>
      </c>
    </row>
    <row r="16" spans="1:6" s="55" customFormat="1" ht="15.75" x14ac:dyDescent="0.25">
      <c r="A16" s="414" t="s">
        <v>203</v>
      </c>
      <c r="B16" s="381">
        <v>1</v>
      </c>
      <c r="C16" s="448">
        <v>0.25</v>
      </c>
      <c r="D16" s="392">
        <v>75000</v>
      </c>
      <c r="E16" s="398">
        <v>0.8</v>
      </c>
      <c r="F16" s="388">
        <f t="shared" si="0"/>
        <v>33750</v>
      </c>
    </row>
    <row r="17" spans="1:6" s="55" customFormat="1" ht="15.75" x14ac:dyDescent="0.25">
      <c r="A17" s="414" t="s">
        <v>204</v>
      </c>
      <c r="B17" s="381">
        <v>1</v>
      </c>
      <c r="C17" s="448">
        <v>1</v>
      </c>
      <c r="D17" s="392">
        <v>60000</v>
      </c>
      <c r="E17" s="398">
        <v>0.8</v>
      </c>
      <c r="F17" s="388">
        <f t="shared" si="0"/>
        <v>108000</v>
      </c>
    </row>
    <row r="18" spans="1:6" s="55" customFormat="1" ht="15.75" x14ac:dyDescent="0.25">
      <c r="A18" s="396" t="s">
        <v>152</v>
      </c>
      <c r="B18" s="449" t="s">
        <v>306</v>
      </c>
      <c r="C18" s="449" t="s">
        <v>306</v>
      </c>
      <c r="D18" s="449" t="s">
        <v>306</v>
      </c>
      <c r="E18" s="449" t="s">
        <v>306</v>
      </c>
      <c r="F18" s="388">
        <f>SUM(F12:F16)</f>
        <v>438750</v>
      </c>
    </row>
    <row r="19" spans="1:6" s="55" customFormat="1" ht="15.75" x14ac:dyDescent="0.25">
      <c r="A19" s="396" t="s">
        <v>153</v>
      </c>
      <c r="B19" s="449" t="s">
        <v>306</v>
      </c>
      <c r="C19" s="449" t="s">
        <v>306</v>
      </c>
      <c r="D19" s="449" t="s">
        <v>306</v>
      </c>
      <c r="E19" s="449" t="s">
        <v>306</v>
      </c>
      <c r="F19" s="388">
        <f>F17</f>
        <v>108000</v>
      </c>
    </row>
  </sheetData>
  <mergeCells count="2">
    <mergeCell ref="A4:F4"/>
    <mergeCell ref="A7:F7"/>
  </mergeCells>
  <pageMargins left="0.7" right="0.7" top="0.75" bottom="0.75" header="0.3" footer="0.3"/>
  <pageSetup paperSize="17" orientation="landscape" verticalDpi="0" r:id="rId1"/>
  <tableParts count="1">
    <tablePart r:id="rId2"/>
  </tablePart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S22"/>
  <sheetViews>
    <sheetView zoomScale="70" zoomScaleNormal="70" workbookViewId="0">
      <pane ySplit="11" topLeftCell="A12" activePane="bottomLeft" state="frozen"/>
      <selection pane="bottomLeft"/>
    </sheetView>
  </sheetViews>
  <sheetFormatPr defaultRowHeight="15" x14ac:dyDescent="0.25"/>
  <cols>
    <col min="1" max="1" width="37.7109375" customWidth="1"/>
    <col min="2" max="2" width="60.7109375" customWidth="1"/>
    <col min="3" max="3" width="15.5703125" customWidth="1"/>
    <col min="4" max="4" width="19.140625" customWidth="1"/>
    <col min="5" max="5" width="18.140625" customWidth="1"/>
    <col min="6" max="6" width="18.42578125" customWidth="1"/>
    <col min="7" max="7" width="17" customWidth="1"/>
    <col min="8" max="8" width="18.5703125" customWidth="1"/>
    <col min="9" max="9" width="20" customWidth="1"/>
    <col min="10" max="10" width="16.28515625" customWidth="1"/>
  </cols>
  <sheetData>
    <row r="1" spans="1:19" ht="21" x14ac:dyDescent="0.35">
      <c r="A1" s="521" t="s">
        <v>61</v>
      </c>
      <c r="B1" s="120"/>
      <c r="C1" s="120"/>
      <c r="D1" s="120"/>
      <c r="E1" s="120"/>
      <c r="F1" s="120"/>
      <c r="G1" s="120"/>
      <c r="H1" s="120"/>
      <c r="I1" s="120"/>
      <c r="J1" s="120"/>
    </row>
    <row r="2" spans="1:19" ht="18.75" x14ac:dyDescent="0.3">
      <c r="A2" s="520" t="s">
        <v>148</v>
      </c>
      <c r="B2" s="120"/>
      <c r="C2" s="120"/>
      <c r="D2" s="120"/>
      <c r="E2" s="120"/>
      <c r="F2" s="120"/>
      <c r="G2" s="120"/>
      <c r="H2" s="120"/>
      <c r="I2" s="120"/>
      <c r="J2" s="120"/>
    </row>
    <row r="3" spans="1:19" ht="16.5" thickBot="1" x14ac:dyDescent="0.3">
      <c r="A3" s="94"/>
      <c r="B3" s="94"/>
      <c r="C3" s="94"/>
      <c r="D3" s="94"/>
      <c r="E3" s="94"/>
      <c r="F3" s="94"/>
      <c r="G3" s="94"/>
      <c r="H3" s="94"/>
      <c r="I3" s="94"/>
      <c r="J3" s="94"/>
    </row>
    <row r="4" spans="1:19" ht="54" customHeight="1" thickTop="1" thickBot="1" x14ac:dyDescent="0.3">
      <c r="A4" s="656" t="s">
        <v>368</v>
      </c>
      <c r="B4" s="657"/>
      <c r="C4" s="657"/>
      <c r="D4" s="657"/>
      <c r="E4" s="657"/>
      <c r="F4" s="657"/>
      <c r="G4" s="657"/>
      <c r="H4" s="657"/>
      <c r="I4" s="657"/>
      <c r="J4" s="658"/>
    </row>
    <row r="5" spans="1:19" ht="15.75" thickTop="1" x14ac:dyDescent="0.25"/>
    <row r="6" spans="1:19" ht="18.75" x14ac:dyDescent="0.25">
      <c r="A6" s="534" t="s">
        <v>60</v>
      </c>
      <c r="B6" s="220"/>
      <c r="C6" s="220"/>
      <c r="D6" s="220"/>
      <c r="E6" s="220"/>
      <c r="F6" s="220"/>
      <c r="G6" s="220"/>
      <c r="H6" s="220"/>
      <c r="I6" s="220"/>
      <c r="J6" s="220"/>
    </row>
    <row r="7" spans="1:19" ht="71.25" customHeight="1" x14ac:dyDescent="0.25">
      <c r="A7" s="653" t="s">
        <v>503</v>
      </c>
      <c r="B7" s="654"/>
      <c r="C7" s="654"/>
      <c r="D7" s="654"/>
      <c r="E7" s="654"/>
      <c r="F7" s="654"/>
      <c r="G7" s="654"/>
      <c r="H7" s="654"/>
      <c r="I7" s="654"/>
      <c r="J7" s="655"/>
    </row>
    <row r="9" spans="1:19" ht="18.75" customHeight="1" x14ac:dyDescent="0.25">
      <c r="A9" s="550" t="s">
        <v>457</v>
      </c>
      <c r="B9" s="206"/>
      <c r="C9" s="206"/>
      <c r="D9" s="206"/>
      <c r="E9" s="80"/>
      <c r="F9" s="80"/>
      <c r="G9" s="80"/>
      <c r="H9" s="80"/>
      <c r="I9" s="80"/>
      <c r="J9" s="80"/>
    </row>
    <row r="10" spans="1:19" s="55" customFormat="1" ht="15" customHeight="1" x14ac:dyDescent="0.25">
      <c r="A10" s="191"/>
      <c r="B10" s="206"/>
      <c r="C10" s="206"/>
      <c r="D10" s="206"/>
      <c r="E10" s="80"/>
      <c r="F10" s="80"/>
      <c r="G10" s="80"/>
      <c r="H10" s="80"/>
      <c r="I10" s="80"/>
      <c r="J10" s="80"/>
    </row>
    <row r="11" spans="1:19" s="55" customFormat="1" ht="31.5" x14ac:dyDescent="0.25">
      <c r="A11" s="348" t="s">
        <v>294</v>
      </c>
      <c r="B11" s="350" t="s">
        <v>293</v>
      </c>
      <c r="C11" s="349" t="s">
        <v>273</v>
      </c>
      <c r="D11" s="349" t="s">
        <v>283</v>
      </c>
      <c r="E11" s="349" t="s">
        <v>284</v>
      </c>
      <c r="F11" s="349" t="s">
        <v>285</v>
      </c>
      <c r="G11" s="349" t="s">
        <v>286</v>
      </c>
      <c r="H11" s="349" t="s">
        <v>462</v>
      </c>
      <c r="I11" s="349" t="s">
        <v>287</v>
      </c>
      <c r="J11" s="358" t="s">
        <v>288</v>
      </c>
      <c r="L11" s="172"/>
      <c r="M11" s="172"/>
      <c r="N11" s="172"/>
      <c r="O11" s="172"/>
      <c r="R11" s="172"/>
      <c r="S11" s="172"/>
    </row>
    <row r="12" spans="1:19" s="55" customFormat="1" ht="31.5" x14ac:dyDescent="0.25">
      <c r="A12" s="404" t="s">
        <v>50</v>
      </c>
      <c r="B12" s="402" t="s">
        <v>379</v>
      </c>
      <c r="C12" s="391">
        <f t="shared" ref="C12:C22" si="0">SUM(D12:J12)</f>
        <v>225000</v>
      </c>
      <c r="D12" s="392">
        <v>225000</v>
      </c>
      <c r="E12" s="392">
        <v>0</v>
      </c>
      <c r="F12" s="392">
        <v>0</v>
      </c>
      <c r="G12" s="392">
        <v>0</v>
      </c>
      <c r="H12" s="392">
        <v>0</v>
      </c>
      <c r="I12" s="392">
        <v>0</v>
      </c>
      <c r="J12" s="392">
        <v>0</v>
      </c>
      <c r="L12" s="20"/>
      <c r="M12" s="20"/>
      <c r="N12" s="20"/>
      <c r="O12" s="20"/>
      <c r="R12" s="20"/>
      <c r="S12" s="20"/>
    </row>
    <row r="13" spans="1:19" s="55" customFormat="1" ht="15.75" x14ac:dyDescent="0.25">
      <c r="A13" s="404" t="s">
        <v>51</v>
      </c>
      <c r="B13" s="402" t="s">
        <v>380</v>
      </c>
      <c r="C13" s="391">
        <f t="shared" si="0"/>
        <v>1176000</v>
      </c>
      <c r="D13" s="392">
        <v>0</v>
      </c>
      <c r="E13" s="392">
        <v>196000</v>
      </c>
      <c r="F13" s="392">
        <f>E13</f>
        <v>196000</v>
      </c>
      <c r="G13" s="392">
        <f>F13</f>
        <v>196000</v>
      </c>
      <c r="H13" s="392">
        <f>G13</f>
        <v>196000</v>
      </c>
      <c r="I13" s="392">
        <f>H13</f>
        <v>196000</v>
      </c>
      <c r="J13" s="392">
        <f>I13</f>
        <v>196000</v>
      </c>
      <c r="K13" s="173"/>
      <c r="M13" s="266"/>
      <c r="N13" s="267"/>
      <c r="O13" s="20"/>
      <c r="R13" s="20"/>
      <c r="S13" s="20"/>
    </row>
    <row r="14" spans="1:19" s="55" customFormat="1" ht="15.75" x14ac:dyDescent="0.25">
      <c r="A14" s="404" t="s">
        <v>52</v>
      </c>
      <c r="B14" s="402" t="s">
        <v>381</v>
      </c>
      <c r="C14" s="391">
        <f t="shared" si="0"/>
        <v>0</v>
      </c>
      <c r="D14" s="393">
        <v>0</v>
      </c>
      <c r="E14" s="393">
        <v>0</v>
      </c>
      <c r="F14" s="393">
        <v>0</v>
      </c>
      <c r="G14" s="393">
        <v>0</v>
      </c>
      <c r="H14" s="393">
        <v>0</v>
      </c>
      <c r="I14" s="393">
        <v>0</v>
      </c>
      <c r="J14" s="393">
        <v>0</v>
      </c>
      <c r="L14" s="174"/>
      <c r="M14" s="174"/>
      <c r="N14" s="174"/>
      <c r="O14" s="174"/>
      <c r="R14" s="174"/>
      <c r="S14" s="174"/>
    </row>
    <row r="15" spans="1:19" s="55" customFormat="1" ht="94.5" x14ac:dyDescent="0.25">
      <c r="A15" s="404" t="s">
        <v>53</v>
      </c>
      <c r="B15" s="406" t="s">
        <v>382</v>
      </c>
      <c r="C15" s="391">
        <f t="shared" si="0"/>
        <v>1200000</v>
      </c>
      <c r="D15" s="392">
        <v>360000</v>
      </c>
      <c r="E15" s="392">
        <v>840000</v>
      </c>
      <c r="F15" s="393">
        <v>0</v>
      </c>
      <c r="G15" s="393">
        <v>0</v>
      </c>
      <c r="H15" s="393">
        <v>0</v>
      </c>
      <c r="I15" s="393">
        <v>0</v>
      </c>
      <c r="J15" s="393">
        <v>0</v>
      </c>
      <c r="L15" s="268"/>
      <c r="M15" s="268"/>
      <c r="N15" s="20"/>
      <c r="O15" s="20"/>
      <c r="R15" s="20"/>
      <c r="S15" s="20"/>
    </row>
    <row r="16" spans="1:19" s="55" customFormat="1" ht="15.75" x14ac:dyDescent="0.25">
      <c r="A16" s="404" t="s">
        <v>54</v>
      </c>
      <c r="B16" s="402" t="s">
        <v>383</v>
      </c>
      <c r="C16" s="391">
        <f t="shared" si="0"/>
        <v>0</v>
      </c>
      <c r="D16" s="393">
        <v>0</v>
      </c>
      <c r="E16" s="393">
        <v>0</v>
      </c>
      <c r="F16" s="393">
        <v>0</v>
      </c>
      <c r="G16" s="393">
        <v>0</v>
      </c>
      <c r="H16" s="393">
        <v>0</v>
      </c>
      <c r="I16" s="393">
        <v>0</v>
      </c>
      <c r="J16" s="393">
        <v>0</v>
      </c>
      <c r="L16" s="20"/>
      <c r="M16" s="20"/>
      <c r="N16" s="20"/>
      <c r="O16" s="20"/>
      <c r="R16" s="20"/>
      <c r="S16" s="20"/>
    </row>
    <row r="17" spans="1:19" s="55" customFormat="1" ht="31.5" x14ac:dyDescent="0.25">
      <c r="A17" s="404" t="s">
        <v>55</v>
      </c>
      <c r="B17" s="402" t="s">
        <v>384</v>
      </c>
      <c r="C17" s="391">
        <f t="shared" si="0"/>
        <v>150000</v>
      </c>
      <c r="D17" s="392">
        <v>150000</v>
      </c>
      <c r="E17" s="393">
        <v>0</v>
      </c>
      <c r="F17" s="393">
        <v>0</v>
      </c>
      <c r="G17" s="393">
        <v>0</v>
      </c>
      <c r="H17" s="393">
        <v>0</v>
      </c>
      <c r="I17" s="393">
        <v>0</v>
      </c>
      <c r="J17" s="393">
        <v>0</v>
      </c>
      <c r="L17" s="269"/>
      <c r="M17" s="20"/>
      <c r="N17" s="20"/>
      <c r="O17" s="20"/>
      <c r="R17" s="175"/>
      <c r="S17" s="175"/>
    </row>
    <row r="18" spans="1:19" s="55" customFormat="1" ht="31.5" x14ac:dyDescent="0.25">
      <c r="A18" s="404" t="s">
        <v>56</v>
      </c>
      <c r="B18" s="406" t="s">
        <v>385</v>
      </c>
      <c r="C18" s="391">
        <f t="shared" si="0"/>
        <v>105000</v>
      </c>
      <c r="D18" s="392">
        <f>D17*0.1</f>
        <v>15000</v>
      </c>
      <c r="E18" s="392">
        <f t="shared" ref="E18:J18" si="1">D18</f>
        <v>15000</v>
      </c>
      <c r="F18" s="392">
        <f t="shared" si="1"/>
        <v>15000</v>
      </c>
      <c r="G18" s="392">
        <f t="shared" si="1"/>
        <v>15000</v>
      </c>
      <c r="H18" s="392">
        <f t="shared" si="1"/>
        <v>15000</v>
      </c>
      <c r="I18" s="392">
        <f t="shared" si="1"/>
        <v>15000</v>
      </c>
      <c r="J18" s="392">
        <f t="shared" si="1"/>
        <v>15000</v>
      </c>
      <c r="L18" s="267"/>
      <c r="M18" s="267"/>
      <c r="N18" s="174"/>
      <c r="O18" s="174"/>
      <c r="R18" s="174"/>
      <c r="S18" s="174"/>
    </row>
    <row r="19" spans="1:19" s="55" customFormat="1" ht="63" x14ac:dyDescent="0.25">
      <c r="A19" s="404" t="s">
        <v>151</v>
      </c>
      <c r="B19" s="406" t="s">
        <v>278</v>
      </c>
      <c r="C19" s="391">
        <f t="shared" si="0"/>
        <v>150000</v>
      </c>
      <c r="D19" s="392">
        <v>0</v>
      </c>
      <c r="E19" s="392">
        <v>0</v>
      </c>
      <c r="F19" s="392">
        <v>0</v>
      </c>
      <c r="G19" s="392">
        <v>0</v>
      </c>
      <c r="H19" s="392">
        <f>D17</f>
        <v>150000</v>
      </c>
      <c r="I19" s="392">
        <v>0</v>
      </c>
      <c r="J19" s="392">
        <v>0</v>
      </c>
      <c r="L19" s="268"/>
      <c r="M19" s="268"/>
      <c r="N19" s="20"/>
      <c r="O19" s="20"/>
      <c r="R19" s="175"/>
      <c r="S19" s="175"/>
    </row>
    <row r="20" spans="1:19" s="55" customFormat="1" ht="78.75" x14ac:dyDescent="0.25">
      <c r="A20" s="404" t="s">
        <v>57</v>
      </c>
      <c r="B20" s="406" t="s">
        <v>386</v>
      </c>
      <c r="C20" s="391">
        <f t="shared" si="0"/>
        <v>438750</v>
      </c>
      <c r="D20" s="392">
        <f>'PCM - Inputs 3'!F18*0.3</f>
        <v>131625</v>
      </c>
      <c r="E20" s="392">
        <f>'PCM - Inputs 3'!F18*0.7</f>
        <v>307125</v>
      </c>
      <c r="F20" s="392">
        <v>0</v>
      </c>
      <c r="G20" s="392">
        <v>0</v>
      </c>
      <c r="H20" s="392">
        <v>0</v>
      </c>
      <c r="I20" s="392">
        <v>0</v>
      </c>
      <c r="J20" s="392">
        <v>0</v>
      </c>
      <c r="L20" s="20"/>
      <c r="M20" s="20"/>
      <c r="N20" s="20"/>
      <c r="O20" s="20"/>
      <c r="R20" s="20"/>
      <c r="S20" s="20"/>
    </row>
    <row r="21" spans="1:19" s="55" customFormat="1" ht="47.25" x14ac:dyDescent="0.25">
      <c r="A21" s="404" t="s">
        <v>59</v>
      </c>
      <c r="B21" s="406" t="s">
        <v>347</v>
      </c>
      <c r="C21" s="391">
        <f t="shared" si="0"/>
        <v>540000</v>
      </c>
      <c r="D21" s="392">
        <v>0</v>
      </c>
      <c r="E21" s="392">
        <v>0</v>
      </c>
      <c r="F21" s="392">
        <f>'PCM - Inputs 3'!F17</f>
        <v>108000</v>
      </c>
      <c r="G21" s="392">
        <f>F21</f>
        <v>108000</v>
      </c>
      <c r="H21" s="392">
        <f>G21</f>
        <v>108000</v>
      </c>
      <c r="I21" s="392">
        <f>H21</f>
        <v>108000</v>
      </c>
      <c r="J21" s="392">
        <f>I21</f>
        <v>108000</v>
      </c>
      <c r="L21" s="58"/>
      <c r="M21" s="58"/>
      <c r="N21" s="20"/>
      <c r="O21" s="242"/>
      <c r="R21" s="20"/>
      <c r="S21" s="20"/>
    </row>
    <row r="22" spans="1:19" s="55" customFormat="1" ht="94.5" x14ac:dyDescent="0.25">
      <c r="A22" s="404" t="s">
        <v>58</v>
      </c>
      <c r="B22" s="406" t="s">
        <v>387</v>
      </c>
      <c r="C22" s="391">
        <f t="shared" si="0"/>
        <v>180000</v>
      </c>
      <c r="D22" s="392">
        <v>0</v>
      </c>
      <c r="E22" s="392">
        <v>0</v>
      </c>
      <c r="F22" s="392">
        <v>0</v>
      </c>
      <c r="G22" s="392">
        <v>0</v>
      </c>
      <c r="H22" s="392">
        <f>C15*15%</f>
        <v>180000</v>
      </c>
      <c r="I22" s="392">
        <v>0</v>
      </c>
      <c r="J22" s="392">
        <v>0</v>
      </c>
      <c r="L22" s="20"/>
      <c r="M22" s="20"/>
      <c r="N22" s="20"/>
      <c r="O22" s="20"/>
      <c r="R22" s="20"/>
      <c r="S22" s="20"/>
    </row>
  </sheetData>
  <mergeCells count="2">
    <mergeCell ref="A4:J4"/>
    <mergeCell ref="A7:J7"/>
  </mergeCells>
  <pageMargins left="0.7" right="0.7" top="0.75" bottom="0.75" header="0.3" footer="0.3"/>
  <pageSetup paperSize="17" scale="80" orientation="landscape" verticalDpi="0" r:id="rId1"/>
  <tableParts count="1">
    <tablePart r:id="rId2"/>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L54"/>
  <sheetViews>
    <sheetView zoomScale="70" zoomScaleNormal="70" workbookViewId="0">
      <pane ySplit="11" topLeftCell="A12" activePane="bottomLeft" state="frozen"/>
      <selection pane="bottomLeft" activeCell="A6" sqref="A6:I6"/>
    </sheetView>
  </sheetViews>
  <sheetFormatPr defaultColWidth="9.140625" defaultRowHeight="15.75" x14ac:dyDescent="0.25"/>
  <cols>
    <col min="1" max="1" width="63.85546875" style="55" customWidth="1"/>
    <col min="2" max="2" width="17.42578125" style="55" customWidth="1"/>
    <col min="3" max="5" width="16.5703125" style="55" bestFit="1" customWidth="1"/>
    <col min="6" max="9" width="15.85546875" style="55" bestFit="1" customWidth="1"/>
    <col min="10" max="10" width="9.140625" style="117"/>
    <col min="11" max="11" width="14.42578125" style="117" bestFit="1" customWidth="1"/>
    <col min="12" max="12" width="15.140625" style="117" bestFit="1" customWidth="1"/>
    <col min="13" max="16384" width="9.140625" style="117"/>
  </cols>
  <sheetData>
    <row r="1" spans="1:11" ht="21" x14ac:dyDescent="0.35">
      <c r="A1" s="521" t="s">
        <v>300</v>
      </c>
      <c r="B1" s="120"/>
      <c r="C1" s="120"/>
      <c r="D1" s="120"/>
      <c r="E1" s="120"/>
      <c r="F1" s="120"/>
      <c r="G1" s="120"/>
      <c r="H1" s="120"/>
      <c r="I1" s="120"/>
    </row>
    <row r="2" spans="1:11" ht="18.75" x14ac:dyDescent="0.3">
      <c r="A2" s="520" t="s">
        <v>388</v>
      </c>
      <c r="B2" s="120"/>
      <c r="C2" s="120"/>
      <c r="D2" s="120"/>
      <c r="E2" s="120"/>
      <c r="F2" s="120"/>
      <c r="G2" s="120"/>
      <c r="H2" s="120"/>
      <c r="I2" s="120"/>
    </row>
    <row r="3" spans="1:11" ht="19.5" thickBot="1" x14ac:dyDescent="0.35">
      <c r="A3" s="91"/>
      <c r="B3" s="120"/>
      <c r="C3" s="120"/>
      <c r="D3" s="120"/>
      <c r="E3" s="120"/>
      <c r="F3" s="120"/>
      <c r="G3" s="120"/>
      <c r="H3" s="120"/>
      <c r="I3" s="120"/>
    </row>
    <row r="4" spans="1:11" ht="68.25" customHeight="1" thickTop="1" thickBot="1" x14ac:dyDescent="0.3">
      <c r="A4" s="626" t="s">
        <v>389</v>
      </c>
      <c r="B4" s="627"/>
      <c r="C4" s="627"/>
      <c r="D4" s="627"/>
      <c r="E4" s="627"/>
      <c r="F4" s="627"/>
      <c r="G4" s="627"/>
      <c r="H4" s="627"/>
      <c r="I4" s="628"/>
    </row>
    <row r="5" spans="1:11" ht="16.5" thickTop="1" x14ac:dyDescent="0.25">
      <c r="A5" s="195"/>
      <c r="B5" s="195"/>
      <c r="C5" s="195"/>
      <c r="D5" s="195"/>
      <c r="E5" s="195"/>
      <c r="F5" s="195"/>
      <c r="G5" s="195"/>
      <c r="H5" s="195"/>
      <c r="I5" s="195"/>
    </row>
    <row r="6" spans="1:11" ht="114.75" customHeight="1" x14ac:dyDescent="0.25">
      <c r="A6" s="660" t="s">
        <v>534</v>
      </c>
      <c r="B6" s="661"/>
      <c r="C6" s="661"/>
      <c r="D6" s="661"/>
      <c r="E6" s="661"/>
      <c r="F6" s="661"/>
      <c r="G6" s="661"/>
      <c r="H6" s="661"/>
      <c r="I6" s="662"/>
    </row>
    <row r="7" spans="1:11" x14ac:dyDescent="0.25">
      <c r="A7" s="277"/>
      <c r="B7" s="133"/>
      <c r="C7" s="133"/>
      <c r="D7" s="133"/>
      <c r="E7" s="133"/>
      <c r="F7" s="133"/>
      <c r="G7" s="133"/>
      <c r="H7" s="133"/>
      <c r="I7" s="133"/>
    </row>
    <row r="8" spans="1:11" x14ac:dyDescent="0.25">
      <c r="A8" s="642" t="s">
        <v>520</v>
      </c>
      <c r="B8" s="643"/>
      <c r="C8" s="643"/>
      <c r="D8" s="643"/>
      <c r="E8" s="643"/>
      <c r="F8" s="643"/>
      <c r="G8" s="643"/>
      <c r="H8" s="643"/>
      <c r="I8" s="643"/>
    </row>
    <row r="9" spans="1:11" ht="128.44999999999999" customHeight="1" x14ac:dyDescent="0.25">
      <c r="A9" s="641" t="s">
        <v>390</v>
      </c>
      <c r="B9" s="641"/>
      <c r="C9" s="641"/>
      <c r="D9" s="641"/>
      <c r="E9" s="641"/>
      <c r="F9" s="641"/>
      <c r="G9" s="641"/>
      <c r="H9" s="641"/>
      <c r="I9" s="641"/>
    </row>
    <row r="10" spans="1:11" x14ac:dyDescent="0.25">
      <c r="A10" s="133"/>
      <c r="B10" s="133"/>
      <c r="C10" s="133"/>
      <c r="D10" s="133"/>
      <c r="E10" s="133"/>
      <c r="F10" s="133"/>
      <c r="G10" s="133"/>
      <c r="H10" s="133"/>
      <c r="I10" s="133"/>
    </row>
    <row r="11" spans="1:11" x14ac:dyDescent="0.25">
      <c r="A11" s="339" t="s">
        <v>521</v>
      </c>
      <c r="B11" s="340" t="s">
        <v>522</v>
      </c>
      <c r="C11" s="340" t="s">
        <v>523</v>
      </c>
      <c r="D11" s="340" t="s">
        <v>524</v>
      </c>
      <c r="E11" s="340" t="s">
        <v>525</v>
      </c>
      <c r="F11" s="340" t="s">
        <v>526</v>
      </c>
      <c r="G11" s="340" t="s">
        <v>527</v>
      </c>
      <c r="H11" s="340" t="s">
        <v>528</v>
      </c>
      <c r="I11" s="341" t="s">
        <v>529</v>
      </c>
    </row>
    <row r="12" spans="1:11" ht="66.75" customHeight="1" x14ac:dyDescent="0.25">
      <c r="A12" s="446" t="str">
        <f>'PCM - Inputs 2'!$A12</f>
        <v xml:space="preserve">Increase in the overall efficiency and effectiveness of the delivery of the agency’s construction program by streamlining and standardizing key processes (e.g., faster review and approvals) and integration of material testing and laboratory functions. </v>
      </c>
      <c r="B12" s="383">
        <f>SUM(C12:I12)</f>
        <v>13513500</v>
      </c>
      <c r="C12" s="384">
        <f>'PCM - Inputs 2'!$C12*'PCM - Inputs 2'!D12</f>
        <v>0</v>
      </c>
      <c r="D12" s="384">
        <f>'PCM - Inputs 2'!$C12*'PCM - Inputs 2'!E12</f>
        <v>0</v>
      </c>
      <c r="E12" s="384">
        <f>'PCM - Inputs 2'!$C12*'PCM - Inputs 2'!F12</f>
        <v>877500</v>
      </c>
      <c r="F12" s="384">
        <f>'PCM - Inputs 2'!$C12*'PCM - Inputs 2'!G12</f>
        <v>2632500</v>
      </c>
      <c r="G12" s="384">
        <f>'PCM - Inputs 2'!$C12*'PCM - Inputs 2'!H12</f>
        <v>2983500</v>
      </c>
      <c r="H12" s="384">
        <f>'PCM - Inputs 2'!$C12*'PCM - Inputs 2'!I12</f>
        <v>3510000</v>
      </c>
      <c r="I12" s="384">
        <f>'PCM - Inputs 2'!$C12*'PCM - Inputs 2'!J12</f>
        <v>3510000</v>
      </c>
    </row>
    <row r="13" spans="1:11" x14ac:dyDescent="0.25">
      <c r="A13" s="417" t="str">
        <f>'PCM - Inputs 2'!$A13</f>
        <v>Reduction in claims</v>
      </c>
      <c r="B13" s="383">
        <f>SUM(C13:I13)</f>
        <v>77000</v>
      </c>
      <c r="C13" s="384">
        <f>'PCM - Inputs 2'!$C13*'PCM - Inputs 2'!D13</f>
        <v>0</v>
      </c>
      <c r="D13" s="384">
        <f>'PCM - Inputs 2'!$C13*'PCM - Inputs 2'!E13</f>
        <v>0</v>
      </c>
      <c r="E13" s="384">
        <f>'PCM - Inputs 2'!$C13*'PCM - Inputs 2'!F13</f>
        <v>5000</v>
      </c>
      <c r="F13" s="384">
        <f>'PCM - Inputs 2'!$C13*'PCM - Inputs 2'!G13</f>
        <v>15000</v>
      </c>
      <c r="G13" s="384">
        <f>'PCM - Inputs 2'!$C13*'PCM - Inputs 2'!H13</f>
        <v>17000</v>
      </c>
      <c r="H13" s="384">
        <f>'PCM - Inputs 2'!$C13*'PCM - Inputs 2'!I13</f>
        <v>20000</v>
      </c>
      <c r="I13" s="384">
        <f>'PCM - Inputs 2'!$C13*'PCM - Inputs 2'!J13</f>
        <v>20000</v>
      </c>
    </row>
    <row r="14" spans="1:11" ht="16.5" customHeight="1" x14ac:dyDescent="0.25">
      <c r="A14" s="447" t="str">
        <f>'PCM - Inputs 2'!$A14</f>
        <v>Reduction in change orders</v>
      </c>
      <c r="B14" s="383">
        <f>SUM(C14:I14)</f>
        <v>385000</v>
      </c>
      <c r="C14" s="384">
        <f>'PCM - Inputs 2'!$C14*'PCM - Inputs 2'!D14</f>
        <v>0</v>
      </c>
      <c r="D14" s="384">
        <f>'PCM - Inputs 2'!$C14*'PCM - Inputs 2'!E14</f>
        <v>0</v>
      </c>
      <c r="E14" s="384">
        <f>'PCM - Inputs 2'!$C14*'PCM - Inputs 2'!F14</f>
        <v>25000</v>
      </c>
      <c r="F14" s="384">
        <f>'PCM - Inputs 2'!$C14*'PCM - Inputs 2'!G14</f>
        <v>75000</v>
      </c>
      <c r="G14" s="384">
        <f>'PCM - Inputs 2'!$C14*'PCM - Inputs 2'!H14</f>
        <v>85000</v>
      </c>
      <c r="H14" s="384">
        <f>'PCM - Inputs 2'!$C14*'PCM - Inputs 2'!I14</f>
        <v>100000</v>
      </c>
      <c r="I14" s="384">
        <f>'PCM - Inputs 2'!$C14*'PCM - Inputs 2'!J14</f>
        <v>100000</v>
      </c>
    </row>
    <row r="15" spans="1:11" x14ac:dyDescent="0.25">
      <c r="A15" s="417" t="str">
        <f>'PCM - Inputs 2'!$A15</f>
        <v>Reduced use of paper, printing, mailing, faxing, scanning</v>
      </c>
      <c r="B15" s="383">
        <f>SUM(C15:I15)</f>
        <v>288750</v>
      </c>
      <c r="C15" s="384">
        <f>'PCM - Inputs 2'!$C15*'PCM - Inputs 2'!D15</f>
        <v>0</v>
      </c>
      <c r="D15" s="384">
        <f>'PCM - Inputs 2'!$C15*'PCM - Inputs 2'!E15</f>
        <v>0</v>
      </c>
      <c r="E15" s="384">
        <f>'PCM - Inputs 2'!$C15*'PCM - Inputs 2'!F15</f>
        <v>18750</v>
      </c>
      <c r="F15" s="384">
        <f>'PCM - Inputs 2'!$C15*'PCM - Inputs 2'!G15</f>
        <v>56250</v>
      </c>
      <c r="G15" s="384">
        <f>'PCM - Inputs 2'!$C15*'PCM - Inputs 2'!H15</f>
        <v>63750</v>
      </c>
      <c r="H15" s="384">
        <f>'PCM - Inputs 2'!$C15*'PCM - Inputs 2'!I15</f>
        <v>75000</v>
      </c>
      <c r="I15" s="384">
        <f>'PCM - Inputs 2'!$C15*'PCM - Inputs 2'!J15</f>
        <v>75000</v>
      </c>
    </row>
    <row r="16" spans="1:11" x14ac:dyDescent="0.25">
      <c r="A16" s="395" t="s">
        <v>26</v>
      </c>
      <c r="B16" s="383">
        <f t="shared" ref="B16:I16" si="0">SUM(B12:B15)</f>
        <v>14264250</v>
      </c>
      <c r="C16" s="383">
        <f t="shared" si="0"/>
        <v>0</v>
      </c>
      <c r="D16" s="383">
        <f t="shared" si="0"/>
        <v>0</v>
      </c>
      <c r="E16" s="383">
        <f t="shared" si="0"/>
        <v>926250</v>
      </c>
      <c r="F16" s="383">
        <f t="shared" si="0"/>
        <v>2778750</v>
      </c>
      <c r="G16" s="383">
        <f t="shared" si="0"/>
        <v>3149250</v>
      </c>
      <c r="H16" s="383">
        <f t="shared" si="0"/>
        <v>3705000</v>
      </c>
      <c r="I16" s="383">
        <f t="shared" si="0"/>
        <v>3705000</v>
      </c>
      <c r="K16" s="577"/>
    </row>
    <row r="17" spans="1:12" s="133" customFormat="1" x14ac:dyDescent="0.25">
      <c r="A17" s="374"/>
      <c r="B17" s="378"/>
      <c r="C17" s="379"/>
      <c r="D17" s="379"/>
      <c r="E17" s="379"/>
      <c r="F17" s="379"/>
      <c r="G17" s="379"/>
      <c r="H17" s="379"/>
      <c r="I17" s="380"/>
      <c r="K17" s="167"/>
    </row>
    <row r="18" spans="1:12" x14ac:dyDescent="0.25">
      <c r="A18" s="181" t="s">
        <v>530</v>
      </c>
      <c r="B18" s="182" t="s">
        <v>522</v>
      </c>
      <c r="C18" s="182" t="s">
        <v>523</v>
      </c>
      <c r="D18" s="182" t="s">
        <v>524</v>
      </c>
      <c r="E18" s="182" t="s">
        <v>525</v>
      </c>
      <c r="F18" s="182" t="s">
        <v>526</v>
      </c>
      <c r="G18" s="182" t="s">
        <v>527</v>
      </c>
      <c r="H18" s="182" t="s">
        <v>528</v>
      </c>
      <c r="I18" s="182" t="s">
        <v>529</v>
      </c>
    </row>
    <row r="19" spans="1:12" x14ac:dyDescent="0.25">
      <c r="A19" s="382" t="str">
        <f>'PCM - Inputs 4'!$A12</f>
        <v>Pre-implementation planning consultant</v>
      </c>
      <c r="B19" s="383">
        <f>'PCM - Inputs 4'!C12</f>
        <v>225000</v>
      </c>
      <c r="C19" s="384">
        <f>'PCM - Inputs 4'!D12</f>
        <v>225000</v>
      </c>
      <c r="D19" s="384">
        <f>'PCM - Inputs 4'!E12</f>
        <v>0</v>
      </c>
      <c r="E19" s="384">
        <f>'PCM - Inputs 4'!F12</f>
        <v>0</v>
      </c>
      <c r="F19" s="384">
        <f>'PCM - Inputs 4'!G12</f>
        <v>0</v>
      </c>
      <c r="G19" s="384">
        <f>'PCM - Inputs 4'!H12</f>
        <v>0</v>
      </c>
      <c r="H19" s="384">
        <f>'PCM - Inputs 4'!I12</f>
        <v>0</v>
      </c>
      <c r="I19" s="384">
        <f>'PCM - Inputs 4'!J12</f>
        <v>0</v>
      </c>
    </row>
    <row r="20" spans="1:12" x14ac:dyDescent="0.25">
      <c r="A20" s="382" t="str">
        <f>'PCM - Inputs 4'!$A13</f>
        <v>COTS software licenses</v>
      </c>
      <c r="B20" s="383">
        <f>'PCM - Inputs 4'!C13</f>
        <v>1176000</v>
      </c>
      <c r="C20" s="384">
        <f>'PCM - Inputs 4'!D13</f>
        <v>0</v>
      </c>
      <c r="D20" s="384">
        <f>'PCM - Inputs 4'!E13</f>
        <v>196000</v>
      </c>
      <c r="E20" s="384">
        <f>'PCM - Inputs 4'!F13</f>
        <v>196000</v>
      </c>
      <c r="F20" s="384">
        <f>'PCM - Inputs 4'!G13</f>
        <v>196000</v>
      </c>
      <c r="G20" s="384">
        <f>'PCM - Inputs 4'!H13</f>
        <v>196000</v>
      </c>
      <c r="H20" s="384">
        <f>'PCM - Inputs 4'!I13</f>
        <v>196000</v>
      </c>
      <c r="I20" s="384">
        <f>'PCM - Inputs 4'!J13</f>
        <v>196000</v>
      </c>
    </row>
    <row r="21" spans="1:12" x14ac:dyDescent="0.25">
      <c r="A21" s="382" t="str">
        <f>'PCM - Inputs 4'!$A14</f>
        <v>COTS software maintenance</v>
      </c>
      <c r="B21" s="383">
        <f>'PCM - Inputs 4'!C14</f>
        <v>0</v>
      </c>
      <c r="C21" s="384">
        <f>'PCM - Inputs 4'!D14</f>
        <v>0</v>
      </c>
      <c r="D21" s="384">
        <f>'PCM - Inputs 4'!E14</f>
        <v>0</v>
      </c>
      <c r="E21" s="384">
        <f>'PCM - Inputs 4'!F14</f>
        <v>0</v>
      </c>
      <c r="F21" s="384">
        <f>'PCM - Inputs 4'!G14</f>
        <v>0</v>
      </c>
      <c r="G21" s="384">
        <f>'PCM - Inputs 4'!H14</f>
        <v>0</v>
      </c>
      <c r="H21" s="384">
        <f>'PCM - Inputs 4'!I14</f>
        <v>0</v>
      </c>
      <c r="I21" s="384">
        <f>'PCM - Inputs 4'!J14</f>
        <v>0</v>
      </c>
    </row>
    <row r="22" spans="1:12" x14ac:dyDescent="0.25">
      <c r="A22" s="382" t="str">
        <f>'PCM - Inputs 4'!$A15</f>
        <v>Systems integration services</v>
      </c>
      <c r="B22" s="383">
        <f>'PCM - Inputs 4'!C15</f>
        <v>1200000</v>
      </c>
      <c r="C22" s="384">
        <f>'PCM - Inputs 4'!D15</f>
        <v>360000</v>
      </c>
      <c r="D22" s="384">
        <f>'PCM - Inputs 4'!E15</f>
        <v>840000</v>
      </c>
      <c r="E22" s="384">
        <f>'PCM - Inputs 4'!F15</f>
        <v>0</v>
      </c>
      <c r="F22" s="384">
        <f>'PCM - Inputs 4'!G15</f>
        <v>0</v>
      </c>
      <c r="G22" s="384">
        <f>'PCM - Inputs 4'!H15</f>
        <v>0</v>
      </c>
      <c r="H22" s="384">
        <f>'PCM - Inputs 4'!I15</f>
        <v>0</v>
      </c>
      <c r="I22" s="384">
        <f>'PCM - Inputs 4'!J15</f>
        <v>0</v>
      </c>
    </row>
    <row r="23" spans="1:12" x14ac:dyDescent="0.25">
      <c r="A23" s="382" t="str">
        <f>'PCM - Inputs 4'!$A16</f>
        <v xml:space="preserve">Managed services support </v>
      </c>
      <c r="B23" s="383">
        <f>'PCM - Inputs 4'!C16</f>
        <v>0</v>
      </c>
      <c r="C23" s="384">
        <f>'PCM - Inputs 4'!D16</f>
        <v>0</v>
      </c>
      <c r="D23" s="384">
        <f>'PCM - Inputs 4'!E16</f>
        <v>0</v>
      </c>
      <c r="E23" s="384">
        <f>'PCM - Inputs 4'!F16</f>
        <v>0</v>
      </c>
      <c r="F23" s="384">
        <f>'PCM - Inputs 4'!G16</f>
        <v>0</v>
      </c>
      <c r="G23" s="384">
        <f>'PCM - Inputs 4'!H16</f>
        <v>0</v>
      </c>
      <c r="H23" s="384">
        <f>'PCM - Inputs 4'!I16</f>
        <v>0</v>
      </c>
      <c r="I23" s="384">
        <f>'PCM - Inputs 4'!J16</f>
        <v>0</v>
      </c>
    </row>
    <row r="24" spans="1:12" x14ac:dyDescent="0.25">
      <c r="A24" s="382" t="str">
        <f>'PCM - Inputs 4'!$A17</f>
        <v>Hardware and other technical infrastructure</v>
      </c>
      <c r="B24" s="383">
        <f>'PCM - Inputs 4'!C17</f>
        <v>150000</v>
      </c>
      <c r="C24" s="384">
        <f>'PCM - Inputs 4'!D17</f>
        <v>150000</v>
      </c>
      <c r="D24" s="384">
        <f>'PCM - Inputs 4'!E17</f>
        <v>0</v>
      </c>
      <c r="E24" s="384">
        <f>'PCM - Inputs 4'!F17</f>
        <v>0</v>
      </c>
      <c r="F24" s="384">
        <f>'PCM - Inputs 4'!G17</f>
        <v>0</v>
      </c>
      <c r="G24" s="384">
        <f>'PCM - Inputs 4'!H17</f>
        <v>0</v>
      </c>
      <c r="H24" s="384">
        <f>'PCM - Inputs 4'!I17</f>
        <v>0</v>
      </c>
      <c r="I24" s="384">
        <f>'PCM - Inputs 4'!J17</f>
        <v>0</v>
      </c>
    </row>
    <row r="25" spans="1:12" x14ac:dyDescent="0.25">
      <c r="A25" s="382" t="str">
        <f>'PCM - Inputs 4'!$A18</f>
        <v>Hardware and infrastructure maintenance</v>
      </c>
      <c r="B25" s="383">
        <f>'PCM - Inputs 4'!C18</f>
        <v>105000</v>
      </c>
      <c r="C25" s="384">
        <f>'PCM - Inputs 4'!D18</f>
        <v>15000</v>
      </c>
      <c r="D25" s="384">
        <f>'PCM - Inputs 4'!E18</f>
        <v>15000</v>
      </c>
      <c r="E25" s="384">
        <f>'PCM - Inputs 4'!F18</f>
        <v>15000</v>
      </c>
      <c r="F25" s="384">
        <f>'PCM - Inputs 4'!G18</f>
        <v>15000</v>
      </c>
      <c r="G25" s="384">
        <f>'PCM - Inputs 4'!H18</f>
        <v>15000</v>
      </c>
      <c r="H25" s="384">
        <f>'PCM - Inputs 4'!I18</f>
        <v>15000</v>
      </c>
      <c r="I25" s="384">
        <f>'PCM - Inputs 4'!J18</f>
        <v>15000</v>
      </c>
    </row>
    <row r="26" spans="1:12" x14ac:dyDescent="0.25">
      <c r="A26" s="382" t="str">
        <f>'PCM - Inputs 4'!$A19</f>
        <v>Hardware replacement/updates</v>
      </c>
      <c r="B26" s="383">
        <f>'PCM - Inputs 4'!C19</f>
        <v>150000</v>
      </c>
      <c r="C26" s="384">
        <f>'PCM - Inputs 4'!D19</f>
        <v>0</v>
      </c>
      <c r="D26" s="384">
        <f>'PCM - Inputs 4'!E19</f>
        <v>0</v>
      </c>
      <c r="E26" s="384">
        <f>'PCM - Inputs 4'!F19</f>
        <v>0</v>
      </c>
      <c r="F26" s="384">
        <f>'PCM - Inputs 4'!G19</f>
        <v>0</v>
      </c>
      <c r="G26" s="384">
        <f>'PCM - Inputs 4'!H19</f>
        <v>150000</v>
      </c>
      <c r="H26" s="384">
        <f>'PCM - Inputs 4'!I19</f>
        <v>0</v>
      </c>
      <c r="I26" s="384">
        <f>'PCM - Inputs 4'!J19</f>
        <v>0</v>
      </c>
    </row>
    <row r="27" spans="1:12" x14ac:dyDescent="0.25">
      <c r="A27" s="382" t="str">
        <f>'PCM - Inputs 4'!$A20</f>
        <v>Agency staff cost during project</v>
      </c>
      <c r="B27" s="383">
        <f>'PCM - Inputs 4'!C20</f>
        <v>438750</v>
      </c>
      <c r="C27" s="384">
        <f>'PCM - Inputs 4'!D20</f>
        <v>131625</v>
      </c>
      <c r="D27" s="384">
        <f>'PCM - Inputs 4'!E20</f>
        <v>307125</v>
      </c>
      <c r="E27" s="384">
        <f>'PCM - Inputs 4'!F20</f>
        <v>0</v>
      </c>
      <c r="F27" s="384">
        <f>'PCM - Inputs 4'!G20</f>
        <v>0</v>
      </c>
      <c r="G27" s="384">
        <f>'PCM - Inputs 4'!H20</f>
        <v>0</v>
      </c>
      <c r="H27" s="384">
        <f>'PCM - Inputs 4'!I20</f>
        <v>0</v>
      </c>
      <c r="I27" s="384">
        <f>'PCM - Inputs 4'!J20</f>
        <v>0</v>
      </c>
    </row>
    <row r="28" spans="1:12" x14ac:dyDescent="0.25">
      <c r="A28" s="382" t="str">
        <f>'PCM - Inputs 4'!$A21</f>
        <v>Agency staff cost to support system ongoing</v>
      </c>
      <c r="B28" s="383">
        <f>'PCM - Inputs 4'!C21</f>
        <v>540000</v>
      </c>
      <c r="C28" s="384">
        <f>'PCM - Inputs 4'!D21</f>
        <v>0</v>
      </c>
      <c r="D28" s="384">
        <f>'PCM - Inputs 4'!E21</f>
        <v>0</v>
      </c>
      <c r="E28" s="384">
        <f>'PCM - Inputs 4'!F21</f>
        <v>108000</v>
      </c>
      <c r="F28" s="384">
        <f>'PCM - Inputs 4'!G21</f>
        <v>108000</v>
      </c>
      <c r="G28" s="384">
        <f>'PCM - Inputs 4'!H21</f>
        <v>108000</v>
      </c>
      <c r="H28" s="384">
        <f>'PCM - Inputs 4'!I21</f>
        <v>108000</v>
      </c>
      <c r="I28" s="384">
        <f>'PCM - Inputs 4'!J21</f>
        <v>108000</v>
      </c>
    </row>
    <row r="29" spans="1:12" x14ac:dyDescent="0.25">
      <c r="A29" s="382" t="str">
        <f>'PCM - Inputs 4'!$A22</f>
        <v>Systems integration services for upgrade</v>
      </c>
      <c r="B29" s="383">
        <f>'PCM - Inputs 4'!C22</f>
        <v>180000</v>
      </c>
      <c r="C29" s="384">
        <f>'PCM - Inputs 4'!D22</f>
        <v>0</v>
      </c>
      <c r="D29" s="384">
        <f>'PCM - Inputs 4'!E22</f>
        <v>0</v>
      </c>
      <c r="E29" s="384">
        <f>'PCM - Inputs 4'!F22</f>
        <v>0</v>
      </c>
      <c r="F29" s="384">
        <f>'PCM - Inputs 4'!G22</f>
        <v>0</v>
      </c>
      <c r="G29" s="384">
        <f>'PCM - Inputs 4'!H22</f>
        <v>180000</v>
      </c>
      <c r="H29" s="384">
        <f>'PCM - Inputs 4'!I22</f>
        <v>0</v>
      </c>
      <c r="I29" s="384">
        <f>'PCM - Inputs 4'!J22</f>
        <v>0</v>
      </c>
    </row>
    <row r="30" spans="1:12" x14ac:dyDescent="0.25">
      <c r="A30" s="394" t="s">
        <v>27</v>
      </c>
      <c r="B30" s="383">
        <f t="shared" ref="B30:I30" si="1">SUM(B19:B29)</f>
        <v>4164750</v>
      </c>
      <c r="C30" s="383">
        <f t="shared" si="1"/>
        <v>881625</v>
      </c>
      <c r="D30" s="383">
        <f t="shared" si="1"/>
        <v>1358125</v>
      </c>
      <c r="E30" s="383">
        <f t="shared" si="1"/>
        <v>319000</v>
      </c>
      <c r="F30" s="383">
        <f t="shared" si="1"/>
        <v>319000</v>
      </c>
      <c r="G30" s="383">
        <f t="shared" si="1"/>
        <v>649000</v>
      </c>
      <c r="H30" s="383">
        <f t="shared" si="1"/>
        <v>319000</v>
      </c>
      <c r="I30" s="383">
        <f t="shared" si="1"/>
        <v>319000</v>
      </c>
      <c r="K30" s="578"/>
      <c r="L30" s="578"/>
    </row>
    <row r="31" spans="1:12" x14ac:dyDescent="0.25">
      <c r="A31" s="394" t="s">
        <v>205</v>
      </c>
      <c r="B31" s="385">
        <f>B16-B30</f>
        <v>10099500</v>
      </c>
      <c r="C31" s="383">
        <f>C16 - C30</f>
        <v>-881625</v>
      </c>
      <c r="D31" s="383">
        <f>D16- D30</f>
        <v>-1358125</v>
      </c>
      <c r="E31" s="383">
        <f>E16 - E30</f>
        <v>607250</v>
      </c>
      <c r="F31" s="383">
        <f>F16 - F30</f>
        <v>2459750</v>
      </c>
      <c r="G31" s="383">
        <f>G16 - G30</f>
        <v>2500250</v>
      </c>
      <c r="H31" s="383">
        <f>H16 - H30</f>
        <v>3386000</v>
      </c>
      <c r="I31" s="383">
        <f>I16 - I30</f>
        <v>3386000</v>
      </c>
      <c r="K31" s="579"/>
    </row>
    <row r="32" spans="1:12" s="133" customFormat="1" x14ac:dyDescent="0.25">
      <c r="A32" s="395" t="s">
        <v>206</v>
      </c>
      <c r="B32" s="580" t="s">
        <v>306</v>
      </c>
      <c r="C32" s="383">
        <f>C31</f>
        <v>-881625</v>
      </c>
      <c r="D32" s="383">
        <f>D31+C31</f>
        <v>-2239750</v>
      </c>
      <c r="E32" s="383">
        <f>E31+D32</f>
        <v>-1632500</v>
      </c>
      <c r="F32" s="383">
        <f>F31+E32</f>
        <v>827250</v>
      </c>
      <c r="G32" s="383">
        <f>G31+F32</f>
        <v>3327500</v>
      </c>
      <c r="H32" s="383">
        <f>H31+G32</f>
        <v>6713500</v>
      </c>
      <c r="I32" s="383">
        <f>I31+H32</f>
        <v>10099500</v>
      </c>
    </row>
    <row r="33" spans="1:12" s="133" customFormat="1" ht="13.5" customHeight="1" x14ac:dyDescent="0.25">
      <c r="A33" s="215"/>
      <c r="B33" s="215"/>
      <c r="C33" s="261"/>
      <c r="D33" s="261"/>
      <c r="E33" s="261"/>
      <c r="F33" s="261"/>
      <c r="G33" s="261"/>
      <c r="H33" s="261"/>
      <c r="I33" s="261"/>
      <c r="L33" s="275"/>
    </row>
    <row r="34" spans="1:12" s="133" customFormat="1" x14ac:dyDescent="0.25">
      <c r="A34" s="315" t="s">
        <v>42</v>
      </c>
      <c r="B34" s="426" t="str">
        <f>INDEX($C$42:$I$42,MATCH(TRUE, INDEX($C$32:$I$32 &gt;0,),0))</f>
        <v>Year 4</v>
      </c>
      <c r="C34" s="238"/>
      <c r="D34" s="215"/>
      <c r="E34" s="215"/>
      <c r="F34" s="215"/>
      <c r="G34" s="215"/>
      <c r="H34" s="215"/>
      <c r="I34" s="145"/>
    </row>
    <row r="35" spans="1:12" s="133" customFormat="1" x14ac:dyDescent="0.25">
      <c r="A35" s="316" t="s">
        <v>440</v>
      </c>
      <c r="B35" s="427" t="s">
        <v>101</v>
      </c>
      <c r="C35" s="238"/>
      <c r="D35" s="215"/>
      <c r="E35" s="215"/>
      <c r="F35" s="215"/>
      <c r="G35" s="215"/>
      <c r="H35" s="215"/>
      <c r="I35" s="145"/>
    </row>
    <row r="36" spans="1:12" s="133" customFormat="1" ht="14.25" customHeight="1" x14ac:dyDescent="0.25">
      <c r="A36" s="316" t="s">
        <v>439</v>
      </c>
      <c r="B36" s="427">
        <f>VLOOKUP(B35,B48:C54,2,FALSE)</f>
        <v>2.4249954979290473</v>
      </c>
      <c r="I36" s="145"/>
    </row>
    <row r="37" spans="1:12" s="133" customFormat="1" x14ac:dyDescent="0.25">
      <c r="A37" s="316" t="s">
        <v>75</v>
      </c>
      <c r="B37" s="428">
        <f>VLOOKUP(B35,$B$48:$E$54,4,FALSE)/VLOOKUP(B35,$B$48:$E$54,3,FALSE)</f>
        <v>594964.28571428568</v>
      </c>
      <c r="I37" s="145"/>
    </row>
    <row r="38" spans="1:12" x14ac:dyDescent="0.25">
      <c r="A38" s="314" t="s">
        <v>207</v>
      </c>
      <c r="B38" s="428">
        <f>VLOOKUP(B35,$B$48:$F$54,5,FALSE)/VLOOKUP(B35,$B$48:$F$54,3,FALSE)</f>
        <v>1442785.7142857143</v>
      </c>
      <c r="C38" s="133"/>
      <c r="D38" s="133"/>
      <c r="E38" s="133"/>
      <c r="F38" s="133"/>
      <c r="G38" s="133"/>
      <c r="H38" s="133"/>
    </row>
    <row r="39" spans="1:12" x14ac:dyDescent="0.25">
      <c r="A39" s="277"/>
      <c r="B39" s="133"/>
      <c r="C39" s="133"/>
      <c r="D39" s="133"/>
      <c r="E39" s="133"/>
      <c r="F39" s="133"/>
      <c r="G39" s="133"/>
      <c r="H39" s="133"/>
      <c r="I39" s="133"/>
      <c r="J39" s="133"/>
    </row>
    <row r="40" spans="1:12" x14ac:dyDescent="0.25">
      <c r="A40" s="145"/>
      <c r="B40" s="145"/>
      <c r="C40" s="145"/>
      <c r="D40" s="145"/>
      <c r="E40" s="145"/>
      <c r="F40" s="145"/>
      <c r="G40" s="145"/>
      <c r="H40" s="145"/>
      <c r="I40" s="145"/>
      <c r="J40" s="133"/>
    </row>
    <row r="41" spans="1:12" ht="15" hidden="1" customHeight="1" thickBot="1" x14ac:dyDescent="0.3">
      <c r="A41" s="221" t="s">
        <v>155</v>
      </c>
      <c r="B41" s="222"/>
      <c r="C41" s="222"/>
      <c r="D41" s="222"/>
      <c r="E41" s="222"/>
      <c r="F41" s="222"/>
      <c r="G41" s="222"/>
      <c r="H41" s="222"/>
      <c r="I41" s="223"/>
    </row>
    <row r="42" spans="1:12" ht="15" hidden="1" customHeight="1" x14ac:dyDescent="0.25">
      <c r="A42" s="584"/>
      <c r="B42" s="585"/>
      <c r="C42" s="586" t="s">
        <v>43</v>
      </c>
      <c r="D42" s="586" t="s">
        <v>44</v>
      </c>
      <c r="E42" s="586" t="s">
        <v>45</v>
      </c>
      <c r="F42" s="586" t="s">
        <v>46</v>
      </c>
      <c r="G42" s="586" t="s">
        <v>47</v>
      </c>
      <c r="H42" s="586" t="s">
        <v>48</v>
      </c>
      <c r="I42" s="587" t="s">
        <v>49</v>
      </c>
    </row>
    <row r="43" spans="1:12" hidden="1" x14ac:dyDescent="0.25">
      <c r="A43" s="224" t="s">
        <v>102</v>
      </c>
      <c r="B43" s="225"/>
      <c r="C43" s="226">
        <f>C30</f>
        <v>881625</v>
      </c>
      <c r="D43" s="226">
        <f t="shared" ref="D43:I43" si="2">D30+C43</f>
        <v>2239750</v>
      </c>
      <c r="E43" s="226">
        <f t="shared" si="2"/>
        <v>2558750</v>
      </c>
      <c r="F43" s="226">
        <f t="shared" si="2"/>
        <v>2877750</v>
      </c>
      <c r="G43" s="226">
        <f t="shared" si="2"/>
        <v>3526750</v>
      </c>
      <c r="H43" s="226">
        <f t="shared" si="2"/>
        <v>3845750</v>
      </c>
      <c r="I43" s="227">
        <f t="shared" si="2"/>
        <v>4164750</v>
      </c>
    </row>
    <row r="44" spans="1:12" hidden="1" x14ac:dyDescent="0.25">
      <c r="A44" s="224" t="s">
        <v>162</v>
      </c>
      <c r="B44" s="225"/>
      <c r="C44" s="228">
        <f t="shared" ref="C44:I44" si="3">C32/C43</f>
        <v>-1</v>
      </c>
      <c r="D44" s="228">
        <f t="shared" si="3"/>
        <v>-1</v>
      </c>
      <c r="E44" s="228">
        <f t="shared" si="3"/>
        <v>-0.63800683927699076</v>
      </c>
      <c r="F44" s="228">
        <f t="shared" si="3"/>
        <v>0.28746416471201458</v>
      </c>
      <c r="G44" s="228">
        <f t="shared" si="3"/>
        <v>0.94350322534911746</v>
      </c>
      <c r="H44" s="228">
        <f t="shared" si="3"/>
        <v>1.7456932977962687</v>
      </c>
      <c r="I44" s="229">
        <f t="shared" si="3"/>
        <v>2.4249954979290473</v>
      </c>
    </row>
    <row r="45" spans="1:12" hidden="1" x14ac:dyDescent="0.25">
      <c r="A45" s="224"/>
      <c r="B45" s="225"/>
      <c r="C45" s="225"/>
      <c r="D45" s="225"/>
      <c r="E45" s="225"/>
      <c r="F45" s="225"/>
      <c r="G45" s="225"/>
      <c r="H45" s="225"/>
      <c r="I45" s="230"/>
    </row>
    <row r="46" spans="1:12" hidden="1" x14ac:dyDescent="0.25">
      <c r="A46" s="224"/>
      <c r="B46" s="225"/>
      <c r="C46" s="225"/>
      <c r="D46" s="225"/>
      <c r="E46" s="225"/>
      <c r="F46" s="225"/>
      <c r="G46" s="225"/>
      <c r="H46" s="225"/>
      <c r="I46" s="230"/>
    </row>
    <row r="47" spans="1:12" hidden="1" x14ac:dyDescent="0.25">
      <c r="A47" s="224"/>
      <c r="B47" s="183" t="s">
        <v>163</v>
      </c>
      <c r="C47" s="183" t="s">
        <v>162</v>
      </c>
      <c r="D47" s="183" t="s">
        <v>163</v>
      </c>
      <c r="E47" s="183" t="s">
        <v>102</v>
      </c>
      <c r="F47" s="183" t="s">
        <v>206</v>
      </c>
      <c r="G47" s="225"/>
      <c r="H47" s="225"/>
      <c r="I47" s="230"/>
    </row>
    <row r="48" spans="1:12" hidden="1" x14ac:dyDescent="0.25">
      <c r="A48" s="224"/>
      <c r="B48" s="186" t="s">
        <v>95</v>
      </c>
      <c r="C48" s="185">
        <f>C44</f>
        <v>-1</v>
      </c>
      <c r="D48" s="183">
        <v>1</v>
      </c>
      <c r="E48" s="184">
        <f>C43</f>
        <v>881625</v>
      </c>
      <c r="F48" s="184">
        <f>C32</f>
        <v>-881625</v>
      </c>
      <c r="G48" s="225"/>
      <c r="H48" s="225"/>
      <c r="I48" s="230"/>
    </row>
    <row r="49" spans="1:9" hidden="1" x14ac:dyDescent="0.25">
      <c r="A49" s="224"/>
      <c r="B49" s="186" t="s">
        <v>96</v>
      </c>
      <c r="C49" s="185">
        <f>D44</f>
        <v>-1</v>
      </c>
      <c r="D49" s="183">
        <v>2</v>
      </c>
      <c r="E49" s="184">
        <f>D43</f>
        <v>2239750</v>
      </c>
      <c r="F49" s="184">
        <f>D32</f>
        <v>-2239750</v>
      </c>
      <c r="G49" s="225"/>
      <c r="H49" s="225"/>
      <c r="I49" s="230"/>
    </row>
    <row r="50" spans="1:9" hidden="1" x14ac:dyDescent="0.25">
      <c r="A50" s="224"/>
      <c r="B50" s="186" t="s">
        <v>97</v>
      </c>
      <c r="C50" s="187">
        <f>E44</f>
        <v>-0.63800683927699076</v>
      </c>
      <c r="D50" s="183">
        <v>3</v>
      </c>
      <c r="E50" s="184">
        <f>E43</f>
        <v>2558750</v>
      </c>
      <c r="F50" s="184">
        <f>E32</f>
        <v>-1632500</v>
      </c>
      <c r="G50" s="225"/>
      <c r="H50" s="225"/>
      <c r="I50" s="230"/>
    </row>
    <row r="51" spans="1:9" hidden="1" x14ac:dyDescent="0.25">
      <c r="A51" s="224"/>
      <c r="B51" s="186" t="s">
        <v>98</v>
      </c>
      <c r="C51" s="187">
        <f>F44</f>
        <v>0.28746416471201458</v>
      </c>
      <c r="D51" s="183">
        <v>4</v>
      </c>
      <c r="E51" s="184">
        <f>F43</f>
        <v>2877750</v>
      </c>
      <c r="F51" s="184">
        <f>F32</f>
        <v>827250</v>
      </c>
      <c r="G51" s="225"/>
      <c r="H51" s="225"/>
      <c r="I51" s="230"/>
    </row>
    <row r="52" spans="1:9" hidden="1" x14ac:dyDescent="0.25">
      <c r="A52" s="224"/>
      <c r="B52" s="186" t="s">
        <v>99</v>
      </c>
      <c r="C52" s="187">
        <f>G44</f>
        <v>0.94350322534911746</v>
      </c>
      <c r="D52" s="183">
        <v>5</v>
      </c>
      <c r="E52" s="184">
        <f>G43</f>
        <v>3526750</v>
      </c>
      <c r="F52" s="184">
        <f>G32</f>
        <v>3327500</v>
      </c>
      <c r="G52" s="225"/>
      <c r="H52" s="225"/>
      <c r="I52" s="230"/>
    </row>
    <row r="53" spans="1:9" hidden="1" x14ac:dyDescent="0.25">
      <c r="A53" s="224"/>
      <c r="B53" s="186" t="s">
        <v>100</v>
      </c>
      <c r="C53" s="187">
        <f>H44</f>
        <v>1.7456932977962687</v>
      </c>
      <c r="D53" s="183">
        <v>6</v>
      </c>
      <c r="E53" s="184">
        <f>H43</f>
        <v>3845750</v>
      </c>
      <c r="F53" s="184">
        <f>H32</f>
        <v>6713500</v>
      </c>
      <c r="G53" s="225"/>
      <c r="H53" s="225"/>
      <c r="I53" s="230"/>
    </row>
    <row r="54" spans="1:9" ht="16.5" hidden="1" thickBot="1" x14ac:dyDescent="0.3">
      <c r="A54" s="231"/>
      <c r="B54" s="232" t="s">
        <v>101</v>
      </c>
      <c r="C54" s="233">
        <f>I44</f>
        <v>2.4249954979290473</v>
      </c>
      <c r="D54" s="234">
        <v>7</v>
      </c>
      <c r="E54" s="235">
        <f>I43</f>
        <v>4164750</v>
      </c>
      <c r="F54" s="235">
        <f>I32</f>
        <v>10099500</v>
      </c>
      <c r="G54" s="236"/>
      <c r="H54" s="236"/>
      <c r="I54" s="237"/>
    </row>
  </sheetData>
  <sheetProtection insertRows="0" selectLockedCells="1"/>
  <mergeCells count="4">
    <mergeCell ref="A4:I4"/>
    <mergeCell ref="A8:I8"/>
    <mergeCell ref="A9:I9"/>
    <mergeCell ref="A6:I6"/>
  </mergeCells>
  <dataValidations count="1">
    <dataValidation type="list" allowBlank="1" showInputMessage="1" showErrorMessage="1" sqref="B35">
      <formula1>$B$48:$B$54</formula1>
    </dataValidation>
  </dataValidations>
  <pageMargins left="0.7" right="0.7" top="0.75" bottom="0.75" header="0.3" footer="0.3"/>
  <pageSetup paperSize="17" orientation="landscape" verticalDpi="1200" r:id="rId1"/>
  <tableParts count="2">
    <tablePart r:id="rId2"/>
    <tablePart r:id="rId3"/>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2"/>
  <sheetViews>
    <sheetView zoomScale="70" zoomScaleNormal="70" workbookViewId="0">
      <pane ySplit="8" topLeftCell="A9" activePane="bottomLeft" state="frozen"/>
      <selection pane="bottomLeft" activeCell="B17" sqref="B17"/>
    </sheetView>
  </sheetViews>
  <sheetFormatPr defaultColWidth="9.140625" defaultRowHeight="15.75" x14ac:dyDescent="0.25"/>
  <cols>
    <col min="1" max="1" width="48.5703125" style="94" customWidth="1"/>
    <col min="2" max="2" width="158.85546875" style="94" customWidth="1"/>
    <col min="3" max="3" width="170.28515625" style="94" customWidth="1"/>
    <col min="4" max="16384" width="9.140625" style="94"/>
  </cols>
  <sheetData>
    <row r="1" spans="1:8" s="93" customFormat="1" ht="21" x14ac:dyDescent="0.35">
      <c r="A1" s="519" t="s">
        <v>291</v>
      </c>
    </row>
    <row r="2" spans="1:8" s="93" customFormat="1" ht="18.75" x14ac:dyDescent="0.3">
      <c r="A2" s="518" t="s">
        <v>304</v>
      </c>
    </row>
    <row r="3" spans="1:8" ht="16.5" thickBot="1" x14ac:dyDescent="0.3"/>
    <row r="4" spans="1:8" ht="144.75" customHeight="1" thickTop="1" thickBot="1" x14ac:dyDescent="0.3">
      <c r="A4" s="617" t="s">
        <v>468</v>
      </c>
      <c r="B4" s="618"/>
    </row>
    <row r="5" spans="1:8" ht="18.75" customHeight="1" thickTop="1" x14ac:dyDescent="0.25"/>
    <row r="6" spans="1:8" x14ac:dyDescent="0.25">
      <c r="A6" s="559" t="s">
        <v>257</v>
      </c>
      <c r="B6" s="105"/>
      <c r="C6" s="106"/>
      <c r="D6" s="106"/>
      <c r="E6" s="106"/>
      <c r="F6" s="106"/>
      <c r="G6" s="106"/>
      <c r="H6" s="106"/>
    </row>
    <row r="8" spans="1:8" x14ac:dyDescent="0.25">
      <c r="A8" s="140" t="s">
        <v>262</v>
      </c>
      <c r="B8" s="142" t="s">
        <v>259</v>
      </c>
    </row>
    <row r="9" spans="1:8" x14ac:dyDescent="0.25">
      <c r="A9" s="608" t="s">
        <v>256</v>
      </c>
      <c r="B9" s="108" t="s">
        <v>465</v>
      </c>
    </row>
    <row r="10" spans="1:8" x14ac:dyDescent="0.25">
      <c r="A10" s="609" t="s">
        <v>261</v>
      </c>
      <c r="B10" s="108" t="s">
        <v>466</v>
      </c>
    </row>
    <row r="11" spans="1:8" x14ac:dyDescent="0.25">
      <c r="A11" s="610" t="s">
        <v>260</v>
      </c>
      <c r="B11" s="562" t="s">
        <v>309</v>
      </c>
    </row>
    <row r="12" spans="1:8" x14ac:dyDescent="0.25">
      <c r="A12" s="109"/>
      <c r="B12" s="109"/>
    </row>
  </sheetData>
  <mergeCells count="1">
    <mergeCell ref="A4:B4"/>
  </mergeCells>
  <pageMargins left="0.7" right="0.7" top="0.75" bottom="0.75" header="0.3" footer="0.3"/>
  <pageSetup paperSize="17" scale="95" orientation="landscape" verticalDpi="1200" r:id="rId1"/>
  <tableParts count="1">
    <tablePart r:id="rId2"/>
  </tablePar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X69"/>
  <sheetViews>
    <sheetView zoomScale="75" zoomScaleNormal="75" workbookViewId="0">
      <selection activeCell="A45" sqref="A45"/>
    </sheetView>
  </sheetViews>
  <sheetFormatPr defaultColWidth="9.140625" defaultRowHeight="15.75" x14ac:dyDescent="0.25"/>
  <cols>
    <col min="1" max="1" width="169.140625" style="117" customWidth="1"/>
    <col min="2" max="16384" width="9.140625" style="117"/>
  </cols>
  <sheetData>
    <row r="1" spans="1:24" ht="21" x14ac:dyDescent="0.25">
      <c r="A1" s="551" t="s">
        <v>300</v>
      </c>
      <c r="B1" s="119"/>
      <c r="C1" s="119"/>
      <c r="D1" s="119"/>
      <c r="E1" s="119"/>
      <c r="F1" s="119"/>
      <c r="G1" s="119"/>
      <c r="H1" s="119"/>
      <c r="I1" s="119"/>
      <c r="J1" s="119"/>
      <c r="K1" s="119"/>
      <c r="L1" s="119"/>
      <c r="M1" s="119"/>
      <c r="N1" s="119"/>
      <c r="O1" s="119"/>
      <c r="P1" s="119"/>
    </row>
    <row r="2" spans="1:24" ht="18.75" x14ac:dyDescent="0.25">
      <c r="A2" s="536" t="s">
        <v>305</v>
      </c>
      <c r="B2" s="119"/>
      <c r="C2" s="119"/>
      <c r="D2" s="119"/>
      <c r="E2" s="119"/>
      <c r="F2" s="119"/>
      <c r="G2" s="119"/>
      <c r="H2" s="119"/>
      <c r="I2" s="119"/>
      <c r="J2" s="119"/>
      <c r="K2" s="119"/>
      <c r="L2" s="119"/>
      <c r="M2" s="119"/>
      <c r="N2" s="119"/>
      <c r="O2" s="119"/>
      <c r="P2" s="119"/>
    </row>
    <row r="3" spans="1:24" ht="19.5" thickBot="1" x14ac:dyDescent="0.3">
      <c r="A3" s="262"/>
      <c r="B3" s="119"/>
      <c r="C3" s="119"/>
      <c r="D3" s="119"/>
      <c r="E3" s="119"/>
      <c r="F3" s="119"/>
      <c r="G3" s="119"/>
      <c r="H3" s="119"/>
      <c r="I3" s="119"/>
      <c r="J3" s="119"/>
      <c r="K3" s="119"/>
      <c r="L3" s="119"/>
      <c r="M3" s="119"/>
      <c r="N3" s="119"/>
      <c r="O3" s="119"/>
      <c r="P3" s="119"/>
    </row>
    <row r="4" spans="1:24" ht="84" customHeight="1" thickTop="1" thickBot="1" x14ac:dyDescent="0.3">
      <c r="A4" s="84" t="s">
        <v>250</v>
      </c>
      <c r="B4" s="73"/>
      <c r="C4" s="73"/>
      <c r="D4" s="73"/>
      <c r="E4" s="73"/>
      <c r="F4" s="73"/>
      <c r="G4" s="73"/>
      <c r="H4" s="73"/>
      <c r="I4" s="73"/>
      <c r="J4" s="73"/>
      <c r="K4" s="73"/>
      <c r="L4" s="73"/>
      <c r="M4" s="73"/>
      <c r="N4" s="73"/>
      <c r="O4" s="73"/>
      <c r="P4" s="73"/>
    </row>
    <row r="5" spans="1:24" ht="15.75" customHeight="1" thickTop="1" x14ac:dyDescent="0.25">
      <c r="A5" s="286"/>
    </row>
    <row r="6" spans="1:24" x14ac:dyDescent="0.25">
      <c r="A6" s="545" t="s">
        <v>476</v>
      </c>
      <c r="B6" s="279"/>
      <c r="C6" s="279"/>
      <c r="D6" s="279"/>
      <c r="E6" s="279"/>
      <c r="F6" s="279"/>
      <c r="G6" s="279"/>
      <c r="H6" s="279"/>
      <c r="I6" s="279"/>
      <c r="J6" s="279"/>
      <c r="K6" s="279"/>
      <c r="L6" s="279"/>
      <c r="M6" s="279"/>
      <c r="N6" s="279"/>
      <c r="O6" s="279"/>
      <c r="P6" s="279"/>
      <c r="Q6" s="279"/>
      <c r="R6" s="279"/>
      <c r="S6" s="279"/>
      <c r="T6" s="279"/>
      <c r="U6" s="279"/>
      <c r="V6" s="279"/>
      <c r="W6" s="279"/>
      <c r="X6" s="133"/>
    </row>
    <row r="7" spans="1:24" x14ac:dyDescent="0.25">
      <c r="A7" s="276"/>
      <c r="B7" s="176"/>
      <c r="C7" s="176"/>
      <c r="D7" s="176"/>
      <c r="E7" s="176"/>
      <c r="F7" s="176"/>
      <c r="G7" s="176"/>
      <c r="H7" s="176"/>
      <c r="I7" s="176"/>
      <c r="J7" s="176"/>
      <c r="K7" s="176"/>
      <c r="L7" s="176"/>
      <c r="M7" s="176"/>
      <c r="N7" s="176"/>
      <c r="O7" s="176"/>
      <c r="P7" s="176"/>
      <c r="Q7" s="176"/>
      <c r="R7" s="176"/>
      <c r="S7" s="176"/>
      <c r="T7" s="176"/>
      <c r="U7" s="176"/>
      <c r="V7" s="176"/>
      <c r="W7" s="276"/>
      <c r="X7" s="133"/>
    </row>
    <row r="8" spans="1:24" x14ac:dyDescent="0.25">
      <c r="A8" s="277"/>
      <c r="B8" s="280"/>
      <c r="C8" s="280"/>
      <c r="D8" s="280"/>
      <c r="E8" s="280"/>
      <c r="F8" s="280"/>
      <c r="G8" s="280"/>
      <c r="H8" s="280"/>
      <c r="I8" s="281"/>
      <c r="J8" s="281"/>
      <c r="K8" s="281"/>
      <c r="L8" s="281"/>
      <c r="M8" s="281"/>
      <c r="N8" s="281"/>
      <c r="O8" s="281"/>
      <c r="P8" s="281"/>
      <c r="Q8" s="281"/>
      <c r="R8" s="281"/>
      <c r="S8" s="281"/>
      <c r="T8" s="281"/>
      <c r="U8" s="281"/>
      <c r="V8" s="281"/>
      <c r="W8" s="281"/>
      <c r="X8" s="133"/>
    </row>
    <row r="9" spans="1:24" x14ac:dyDescent="0.25">
      <c r="A9" s="133"/>
      <c r="B9" s="282"/>
      <c r="C9" s="281"/>
      <c r="D9" s="281"/>
      <c r="E9" s="281"/>
      <c r="F9" s="281"/>
      <c r="G9" s="281"/>
      <c r="H9" s="281"/>
      <c r="I9" s="281"/>
      <c r="J9" s="281"/>
      <c r="K9" s="281"/>
      <c r="L9" s="281"/>
      <c r="M9" s="281"/>
      <c r="N9" s="281"/>
      <c r="O9" s="281"/>
      <c r="P9" s="281"/>
      <c r="Q9" s="281"/>
      <c r="R9" s="281"/>
      <c r="S9" s="281"/>
      <c r="T9" s="281"/>
      <c r="U9" s="281"/>
      <c r="V9" s="281"/>
      <c r="W9" s="281"/>
      <c r="X9" s="133"/>
    </row>
    <row r="10" spans="1:24" x14ac:dyDescent="0.25">
      <c r="A10" s="133"/>
      <c r="B10" s="282"/>
      <c r="C10" s="282"/>
      <c r="D10" s="282"/>
      <c r="E10" s="281"/>
      <c r="F10" s="281"/>
      <c r="G10" s="281"/>
      <c r="H10" s="281"/>
      <c r="I10" s="281"/>
      <c r="J10" s="281"/>
      <c r="K10" s="281"/>
      <c r="L10" s="281"/>
      <c r="M10" s="281"/>
      <c r="N10" s="281"/>
      <c r="O10" s="281"/>
      <c r="P10" s="281"/>
      <c r="Q10" s="281"/>
      <c r="R10" s="281"/>
      <c r="S10" s="281"/>
      <c r="T10" s="281"/>
      <c r="U10" s="281"/>
      <c r="V10" s="281"/>
      <c r="W10" s="281"/>
      <c r="X10" s="133"/>
    </row>
    <row r="11" spans="1:24" x14ac:dyDescent="0.25">
      <c r="A11" s="133"/>
      <c r="B11" s="281"/>
      <c r="C11" s="281"/>
      <c r="D11" s="282"/>
      <c r="E11" s="282"/>
      <c r="F11" s="282"/>
      <c r="G11" s="281"/>
      <c r="H11" s="281"/>
      <c r="I11" s="281"/>
      <c r="J11" s="281"/>
      <c r="K11" s="281"/>
      <c r="L11" s="281"/>
      <c r="M11" s="281"/>
      <c r="N11" s="281"/>
      <c r="O11" s="281"/>
      <c r="P11" s="281"/>
      <c r="Q11" s="281"/>
      <c r="R11" s="281"/>
      <c r="S11" s="281"/>
      <c r="T11" s="281"/>
      <c r="U11" s="281"/>
      <c r="V11" s="281"/>
      <c r="W11" s="281"/>
      <c r="X11" s="133"/>
    </row>
    <row r="12" spans="1:24" x14ac:dyDescent="0.25">
      <c r="A12" s="133"/>
      <c r="B12" s="281"/>
      <c r="C12" s="282"/>
      <c r="D12" s="282"/>
      <c r="E12" s="282"/>
      <c r="F12" s="282"/>
      <c r="G12" s="281"/>
      <c r="H12" s="281"/>
      <c r="I12" s="281"/>
      <c r="J12" s="281"/>
      <c r="K12" s="281"/>
      <c r="L12" s="281"/>
      <c r="M12" s="281"/>
      <c r="N12" s="281"/>
      <c r="O12" s="281"/>
      <c r="P12" s="281"/>
      <c r="Q12" s="281"/>
      <c r="R12" s="281"/>
      <c r="S12" s="281"/>
      <c r="T12" s="281"/>
      <c r="U12" s="281"/>
      <c r="V12" s="281"/>
      <c r="W12" s="281"/>
      <c r="X12" s="133"/>
    </row>
    <row r="13" spans="1:24" x14ac:dyDescent="0.25">
      <c r="A13" s="133"/>
      <c r="B13" s="281"/>
      <c r="C13" s="281"/>
      <c r="D13" s="281"/>
      <c r="E13" s="281"/>
      <c r="F13" s="281"/>
      <c r="G13" s="282"/>
      <c r="H13" s="281"/>
      <c r="I13" s="281"/>
      <c r="J13" s="281"/>
      <c r="K13" s="281"/>
      <c r="L13" s="281"/>
      <c r="M13" s="281"/>
      <c r="N13" s="281"/>
      <c r="O13" s="281"/>
      <c r="P13" s="281"/>
      <c r="Q13" s="281"/>
      <c r="R13" s="281"/>
      <c r="S13" s="281"/>
      <c r="T13" s="281"/>
      <c r="U13" s="281"/>
      <c r="V13" s="281"/>
      <c r="W13" s="281"/>
      <c r="X13" s="133"/>
    </row>
    <row r="14" spans="1:24" x14ac:dyDescent="0.25">
      <c r="A14" s="133"/>
      <c r="B14" s="281"/>
      <c r="C14" s="281"/>
      <c r="D14" s="281"/>
      <c r="E14" s="281"/>
      <c r="F14" s="281"/>
      <c r="G14" s="282"/>
      <c r="H14" s="281"/>
      <c r="I14" s="281"/>
      <c r="J14" s="281"/>
      <c r="K14" s="281"/>
      <c r="L14" s="281"/>
      <c r="M14" s="281"/>
      <c r="N14" s="281"/>
      <c r="O14" s="281"/>
      <c r="P14" s="281"/>
      <c r="Q14" s="281"/>
      <c r="R14" s="281"/>
      <c r="S14" s="281"/>
      <c r="T14" s="281"/>
      <c r="U14" s="281"/>
      <c r="V14" s="281"/>
      <c r="W14" s="281"/>
      <c r="X14" s="133"/>
    </row>
    <row r="15" spans="1:24" x14ac:dyDescent="0.25">
      <c r="A15" s="133"/>
      <c r="B15" s="281"/>
      <c r="C15" s="281"/>
      <c r="D15" s="281"/>
      <c r="E15" s="281"/>
      <c r="F15" s="281"/>
      <c r="G15" s="281"/>
      <c r="H15" s="282"/>
      <c r="I15" s="281"/>
      <c r="J15" s="281"/>
      <c r="K15" s="281"/>
      <c r="L15" s="281"/>
      <c r="M15" s="281"/>
      <c r="N15" s="281"/>
      <c r="O15" s="281"/>
      <c r="P15" s="281"/>
      <c r="Q15" s="281"/>
      <c r="R15" s="281"/>
      <c r="S15" s="281"/>
      <c r="T15" s="281"/>
      <c r="U15" s="281"/>
      <c r="V15" s="281"/>
      <c r="W15" s="281"/>
      <c r="X15" s="133"/>
    </row>
    <row r="16" spans="1:24" x14ac:dyDescent="0.25">
      <c r="A16" s="277"/>
      <c r="B16" s="281"/>
      <c r="C16" s="281"/>
      <c r="D16" s="281"/>
      <c r="E16" s="281"/>
      <c r="F16" s="281"/>
      <c r="G16" s="281"/>
      <c r="H16" s="283"/>
      <c r="I16" s="283"/>
      <c r="J16" s="283"/>
      <c r="K16" s="283"/>
      <c r="L16" s="283"/>
      <c r="M16" s="283"/>
      <c r="N16" s="283"/>
      <c r="O16" s="283"/>
      <c r="P16" s="283"/>
      <c r="Q16" s="283"/>
      <c r="R16" s="283"/>
      <c r="S16" s="283"/>
      <c r="T16" s="283"/>
      <c r="U16" s="283"/>
      <c r="V16" s="283"/>
      <c r="W16" s="283"/>
      <c r="X16" s="133"/>
    </row>
    <row r="17" spans="1:24" x14ac:dyDescent="0.25">
      <c r="A17" s="133"/>
      <c r="B17" s="281"/>
      <c r="C17" s="281"/>
      <c r="D17" s="281"/>
      <c r="E17" s="281"/>
      <c r="F17" s="281"/>
      <c r="G17" s="281"/>
      <c r="H17" s="282"/>
      <c r="I17" s="282"/>
      <c r="J17" s="281"/>
      <c r="K17" s="281"/>
      <c r="L17" s="281"/>
      <c r="M17" s="281"/>
      <c r="N17" s="281"/>
      <c r="O17" s="281"/>
      <c r="P17" s="281"/>
      <c r="Q17" s="281"/>
      <c r="R17" s="281"/>
      <c r="S17" s="281"/>
      <c r="T17" s="281"/>
      <c r="U17" s="281"/>
      <c r="V17" s="281"/>
      <c r="W17" s="281"/>
      <c r="X17" s="133"/>
    </row>
    <row r="18" spans="1:24" x14ac:dyDescent="0.25">
      <c r="A18" s="133"/>
      <c r="B18" s="281"/>
      <c r="C18" s="281"/>
      <c r="D18" s="281"/>
      <c r="E18" s="281"/>
      <c r="F18" s="281"/>
      <c r="G18" s="281"/>
      <c r="H18" s="282"/>
      <c r="I18" s="282"/>
      <c r="J18" s="282"/>
      <c r="K18" s="281"/>
      <c r="L18" s="281"/>
      <c r="M18" s="281"/>
      <c r="N18" s="281"/>
      <c r="O18" s="281"/>
      <c r="P18" s="281"/>
      <c r="Q18" s="281"/>
      <c r="R18" s="281"/>
      <c r="S18" s="281"/>
      <c r="T18" s="281"/>
      <c r="U18" s="281"/>
      <c r="V18" s="281"/>
      <c r="W18" s="281"/>
      <c r="X18" s="133"/>
    </row>
    <row r="19" spans="1:24" x14ac:dyDescent="0.25">
      <c r="A19" s="133"/>
      <c r="B19" s="281"/>
      <c r="C19" s="281"/>
      <c r="D19" s="281"/>
      <c r="E19" s="281"/>
      <c r="F19" s="281"/>
      <c r="G19" s="281"/>
      <c r="H19" s="281"/>
      <c r="I19" s="281"/>
      <c r="J19" s="282"/>
      <c r="K19" s="282"/>
      <c r="L19" s="281"/>
      <c r="M19" s="281"/>
      <c r="N19" s="281"/>
      <c r="O19" s="281"/>
      <c r="P19" s="281"/>
      <c r="Q19" s="281"/>
      <c r="R19" s="281"/>
      <c r="S19" s="281"/>
      <c r="T19" s="281"/>
      <c r="U19" s="281"/>
      <c r="V19" s="281"/>
      <c r="W19" s="281"/>
      <c r="X19" s="133"/>
    </row>
    <row r="20" spans="1:24" x14ac:dyDescent="0.25">
      <c r="A20" s="133"/>
      <c r="B20" s="281"/>
      <c r="C20" s="281"/>
      <c r="D20" s="281"/>
      <c r="E20" s="281"/>
      <c r="F20" s="281"/>
      <c r="G20" s="281"/>
      <c r="H20" s="281"/>
      <c r="I20" s="281"/>
      <c r="J20" s="282"/>
      <c r="K20" s="282"/>
      <c r="L20" s="282"/>
      <c r="M20" s="281"/>
      <c r="N20" s="281"/>
      <c r="O20" s="281"/>
      <c r="P20" s="281"/>
      <c r="Q20" s="281"/>
      <c r="R20" s="281"/>
      <c r="S20" s="281"/>
      <c r="T20" s="281"/>
      <c r="U20" s="281"/>
      <c r="V20" s="281"/>
      <c r="W20" s="281"/>
      <c r="X20" s="133"/>
    </row>
    <row r="21" spans="1:24" x14ac:dyDescent="0.25">
      <c r="A21" s="133"/>
      <c r="B21" s="281"/>
      <c r="C21" s="281"/>
      <c r="D21" s="281"/>
      <c r="E21" s="281"/>
      <c r="F21" s="281"/>
      <c r="G21" s="281"/>
      <c r="H21" s="281"/>
      <c r="I21" s="281"/>
      <c r="J21" s="282"/>
      <c r="K21" s="282"/>
      <c r="L21" s="282"/>
      <c r="M21" s="281"/>
      <c r="N21" s="281"/>
      <c r="O21" s="281"/>
      <c r="P21" s="281"/>
      <c r="Q21" s="281"/>
      <c r="R21" s="281"/>
      <c r="S21" s="281"/>
      <c r="T21" s="281"/>
      <c r="U21" s="281"/>
      <c r="V21" s="281"/>
      <c r="W21" s="281"/>
      <c r="X21" s="133"/>
    </row>
    <row r="22" spans="1:24" x14ac:dyDescent="0.25">
      <c r="A22" s="133"/>
      <c r="B22" s="281"/>
      <c r="C22" s="281"/>
      <c r="D22" s="281"/>
      <c r="E22" s="281"/>
      <c r="F22" s="281"/>
      <c r="G22" s="281"/>
      <c r="H22" s="281"/>
      <c r="I22" s="281"/>
      <c r="J22" s="281"/>
      <c r="K22" s="281"/>
      <c r="L22" s="281"/>
      <c r="M22" s="282"/>
      <c r="N22" s="281"/>
      <c r="O22" s="281"/>
      <c r="P22" s="281"/>
      <c r="Q22" s="281"/>
      <c r="R22" s="281"/>
      <c r="S22" s="281"/>
      <c r="T22" s="281"/>
      <c r="U22" s="281"/>
      <c r="V22" s="281"/>
      <c r="W22" s="281"/>
      <c r="X22" s="133"/>
    </row>
    <row r="23" spans="1:24" x14ac:dyDescent="0.25">
      <c r="A23" s="133"/>
      <c r="B23" s="281"/>
      <c r="C23" s="281"/>
      <c r="D23" s="281"/>
      <c r="E23" s="281"/>
      <c r="F23" s="281"/>
      <c r="G23" s="281"/>
      <c r="H23" s="281"/>
      <c r="I23" s="281"/>
      <c r="J23" s="281"/>
      <c r="K23" s="281"/>
      <c r="L23" s="281"/>
      <c r="M23" s="282"/>
      <c r="N23" s="282"/>
      <c r="O23" s="281"/>
      <c r="P23" s="281"/>
      <c r="Q23" s="281"/>
      <c r="R23" s="281"/>
      <c r="S23" s="281"/>
      <c r="T23" s="281"/>
      <c r="U23" s="281"/>
      <c r="V23" s="281"/>
      <c r="W23" s="281"/>
      <c r="X23" s="133"/>
    </row>
    <row r="24" spans="1:24" x14ac:dyDescent="0.25">
      <c r="A24" s="133"/>
      <c r="B24" s="281"/>
      <c r="C24" s="281"/>
      <c r="D24" s="281"/>
      <c r="E24" s="281"/>
      <c r="F24" s="281"/>
      <c r="G24" s="281"/>
      <c r="H24" s="281"/>
      <c r="I24" s="281"/>
      <c r="J24" s="281"/>
      <c r="K24" s="281"/>
      <c r="L24" s="281"/>
      <c r="M24" s="282"/>
      <c r="N24" s="282"/>
      <c r="O24" s="282"/>
      <c r="P24" s="282"/>
      <c r="Q24" s="281"/>
      <c r="R24" s="281"/>
      <c r="S24" s="281"/>
      <c r="T24" s="281"/>
      <c r="U24" s="281"/>
      <c r="V24" s="281"/>
      <c r="W24" s="281"/>
      <c r="X24" s="133"/>
    </row>
    <row r="25" spans="1:24" x14ac:dyDescent="0.25">
      <c r="A25" s="133"/>
      <c r="B25" s="281"/>
      <c r="C25" s="281"/>
      <c r="D25" s="281"/>
      <c r="E25" s="281"/>
      <c r="F25" s="281"/>
      <c r="G25" s="281"/>
      <c r="H25" s="281"/>
      <c r="I25" s="281"/>
      <c r="J25" s="281"/>
      <c r="K25" s="281"/>
      <c r="L25" s="281"/>
      <c r="M25" s="281"/>
      <c r="N25" s="281"/>
      <c r="O25" s="281"/>
      <c r="P25" s="281"/>
      <c r="Q25" s="282"/>
      <c r="R25" s="281"/>
      <c r="S25" s="281"/>
      <c r="T25" s="281"/>
      <c r="U25" s="281"/>
      <c r="V25" s="281"/>
      <c r="W25" s="281"/>
      <c r="X25" s="133"/>
    </row>
    <row r="26" spans="1:24" x14ac:dyDescent="0.25">
      <c r="A26" s="133"/>
      <c r="B26" s="281"/>
      <c r="C26" s="281"/>
      <c r="D26" s="281"/>
      <c r="E26" s="281"/>
      <c r="F26" s="281"/>
      <c r="G26" s="281"/>
      <c r="H26" s="281"/>
      <c r="I26" s="281"/>
      <c r="J26" s="281"/>
      <c r="K26" s="281"/>
      <c r="L26" s="281"/>
      <c r="M26" s="281"/>
      <c r="N26" s="281"/>
      <c r="O26" s="281"/>
      <c r="P26" s="281"/>
      <c r="Q26" s="281"/>
      <c r="R26" s="282"/>
      <c r="S26" s="281"/>
      <c r="T26" s="281"/>
      <c r="U26" s="281"/>
      <c r="V26" s="281"/>
      <c r="W26" s="281"/>
      <c r="X26" s="133"/>
    </row>
    <row r="27" spans="1:24" x14ac:dyDescent="0.25">
      <c r="A27" s="133"/>
      <c r="B27" s="281"/>
      <c r="C27" s="281"/>
      <c r="D27" s="281"/>
      <c r="E27" s="281"/>
      <c r="F27" s="281"/>
      <c r="G27" s="281"/>
      <c r="H27" s="281"/>
      <c r="I27" s="281"/>
      <c r="J27" s="281"/>
      <c r="K27" s="281"/>
      <c r="L27" s="281"/>
      <c r="M27" s="281"/>
      <c r="N27" s="281"/>
      <c r="O27" s="281"/>
      <c r="P27" s="281"/>
      <c r="Q27" s="281"/>
      <c r="R27" s="281"/>
      <c r="S27" s="282"/>
      <c r="T27" s="281"/>
      <c r="U27" s="281"/>
      <c r="V27" s="281"/>
      <c r="W27" s="281"/>
      <c r="X27" s="133"/>
    </row>
    <row r="28" spans="1:24" x14ac:dyDescent="0.25">
      <c r="A28" s="133"/>
      <c r="B28" s="281"/>
      <c r="C28" s="281"/>
      <c r="D28" s="281"/>
      <c r="E28" s="281"/>
      <c r="F28" s="281"/>
      <c r="G28" s="281"/>
      <c r="H28" s="281"/>
      <c r="I28" s="281"/>
      <c r="J28" s="281"/>
      <c r="K28" s="281"/>
      <c r="L28" s="281"/>
      <c r="M28" s="281"/>
      <c r="N28" s="281"/>
      <c r="O28" s="281"/>
      <c r="P28" s="281"/>
      <c r="Q28" s="281"/>
      <c r="R28" s="281"/>
      <c r="S28" s="282"/>
      <c r="T28" s="281"/>
      <c r="U28" s="281"/>
      <c r="V28" s="281"/>
      <c r="W28" s="281"/>
      <c r="X28" s="133"/>
    </row>
    <row r="29" spans="1:24" x14ac:dyDescent="0.25">
      <c r="A29" s="133"/>
      <c r="B29" s="281"/>
      <c r="C29" s="281"/>
      <c r="D29" s="281"/>
      <c r="E29" s="281"/>
      <c r="F29" s="281"/>
      <c r="G29" s="281"/>
      <c r="H29" s="282"/>
      <c r="I29" s="282"/>
      <c r="J29" s="282"/>
      <c r="K29" s="282"/>
      <c r="L29" s="282"/>
      <c r="M29" s="282"/>
      <c r="N29" s="282"/>
      <c r="O29" s="282"/>
      <c r="P29" s="281"/>
      <c r="Q29" s="282"/>
      <c r="R29" s="281"/>
      <c r="S29" s="281"/>
      <c r="T29" s="282"/>
      <c r="U29" s="281"/>
      <c r="V29" s="281"/>
      <c r="W29" s="281"/>
      <c r="X29" s="133"/>
    </row>
    <row r="30" spans="1:24" x14ac:dyDescent="0.25">
      <c r="A30" s="133"/>
      <c r="B30" s="281"/>
      <c r="C30" s="281"/>
      <c r="D30" s="281"/>
      <c r="E30" s="281"/>
      <c r="F30" s="281"/>
      <c r="G30" s="281"/>
      <c r="H30" s="282"/>
      <c r="I30" s="282"/>
      <c r="J30" s="282"/>
      <c r="K30" s="282"/>
      <c r="L30" s="282"/>
      <c r="M30" s="282"/>
      <c r="N30" s="282"/>
      <c r="O30" s="282"/>
      <c r="P30" s="282"/>
      <c r="Q30" s="282"/>
      <c r="R30" s="282"/>
      <c r="S30" s="281"/>
      <c r="T30" s="281"/>
      <c r="U30" s="281"/>
      <c r="V30" s="281"/>
      <c r="W30" s="281"/>
      <c r="X30" s="133"/>
    </row>
    <row r="31" spans="1:24" x14ac:dyDescent="0.25">
      <c r="A31" s="133"/>
      <c r="B31" s="281"/>
      <c r="C31" s="281"/>
      <c r="D31" s="281"/>
      <c r="E31" s="281"/>
      <c r="F31" s="281"/>
      <c r="G31" s="281"/>
      <c r="H31" s="281"/>
      <c r="I31" s="281"/>
      <c r="J31" s="281"/>
      <c r="K31" s="281"/>
      <c r="L31" s="281"/>
      <c r="M31" s="281"/>
      <c r="N31" s="281"/>
      <c r="O31" s="281"/>
      <c r="P31" s="281"/>
      <c r="Q31" s="281"/>
      <c r="R31" s="282"/>
      <c r="S31" s="282"/>
      <c r="T31" s="281"/>
      <c r="U31" s="281"/>
      <c r="V31" s="281"/>
      <c r="W31" s="281"/>
      <c r="X31" s="133"/>
    </row>
    <row r="32" spans="1:24" x14ac:dyDescent="0.25">
      <c r="A32" s="133"/>
      <c r="B32" s="281"/>
      <c r="C32" s="281"/>
      <c r="D32" s="281"/>
      <c r="E32" s="281"/>
      <c r="F32" s="281"/>
      <c r="G32" s="281"/>
      <c r="H32" s="281"/>
      <c r="I32" s="281"/>
      <c r="J32" s="281"/>
      <c r="K32" s="281"/>
      <c r="L32" s="281"/>
      <c r="M32" s="281"/>
      <c r="N32" s="281"/>
      <c r="O32" s="281"/>
      <c r="P32" s="281"/>
      <c r="Q32" s="281"/>
      <c r="R32" s="281"/>
      <c r="S32" s="281"/>
      <c r="T32" s="281"/>
      <c r="U32" s="282"/>
      <c r="V32" s="281"/>
      <c r="W32" s="281"/>
      <c r="X32" s="133"/>
    </row>
    <row r="33" spans="1:24" x14ac:dyDescent="0.25">
      <c r="A33" s="133"/>
      <c r="B33" s="281"/>
      <c r="C33" s="281"/>
      <c r="D33" s="281"/>
      <c r="E33" s="281"/>
      <c r="F33" s="281"/>
      <c r="G33" s="281"/>
      <c r="H33" s="281"/>
      <c r="I33" s="281"/>
      <c r="J33" s="281"/>
      <c r="K33" s="281"/>
      <c r="L33" s="281"/>
      <c r="M33" s="281"/>
      <c r="N33" s="281"/>
      <c r="O33" s="281"/>
      <c r="P33" s="281"/>
      <c r="Q33" s="281"/>
      <c r="R33" s="281"/>
      <c r="S33" s="281"/>
      <c r="T33" s="281"/>
      <c r="U33" s="282"/>
      <c r="V33" s="282"/>
      <c r="W33" s="282"/>
      <c r="X33" s="133"/>
    </row>
    <row r="34" spans="1:24" x14ac:dyDescent="0.25">
      <c r="A34" s="277"/>
      <c r="B34" s="283"/>
      <c r="C34" s="283"/>
      <c r="D34" s="283"/>
      <c r="E34" s="283"/>
      <c r="F34" s="283"/>
      <c r="G34" s="283"/>
      <c r="H34" s="283"/>
      <c r="I34" s="283"/>
      <c r="J34" s="283"/>
      <c r="K34" s="283"/>
      <c r="L34" s="283"/>
      <c r="M34" s="283"/>
      <c r="N34" s="283"/>
      <c r="O34" s="283"/>
      <c r="P34" s="283"/>
      <c r="Q34" s="283"/>
      <c r="R34" s="283"/>
      <c r="S34" s="283"/>
      <c r="T34" s="283"/>
      <c r="U34" s="283"/>
      <c r="V34" s="283"/>
      <c r="W34" s="283"/>
      <c r="X34" s="133"/>
    </row>
    <row r="35" spans="1:24" x14ac:dyDescent="0.25">
      <c r="A35" s="277"/>
      <c r="B35" s="283"/>
      <c r="C35" s="283"/>
      <c r="D35" s="283"/>
      <c r="E35" s="283"/>
      <c r="F35" s="283"/>
      <c r="G35" s="283"/>
      <c r="H35" s="283"/>
      <c r="I35" s="283"/>
      <c r="J35" s="283"/>
      <c r="K35" s="283"/>
      <c r="L35" s="283"/>
      <c r="M35" s="283"/>
      <c r="N35" s="283"/>
      <c r="O35" s="283"/>
      <c r="P35" s="283"/>
      <c r="Q35" s="283"/>
      <c r="R35" s="283"/>
      <c r="S35" s="283"/>
      <c r="T35" s="283"/>
      <c r="U35" s="283"/>
      <c r="V35" s="283"/>
      <c r="W35" s="283"/>
      <c r="X35" s="133"/>
    </row>
    <row r="36" spans="1:24" x14ac:dyDescent="0.25">
      <c r="A36" s="133"/>
      <c r="B36" s="133"/>
      <c r="C36" s="133"/>
      <c r="D36" s="133"/>
      <c r="E36" s="133"/>
      <c r="F36" s="133"/>
      <c r="G36" s="133"/>
      <c r="H36" s="133"/>
      <c r="I36" s="133"/>
      <c r="J36" s="133"/>
      <c r="K36" s="133"/>
      <c r="L36" s="133"/>
      <c r="M36" s="133"/>
      <c r="N36" s="133"/>
      <c r="O36" s="133"/>
      <c r="P36" s="133"/>
      <c r="Q36" s="133"/>
      <c r="R36" s="133"/>
      <c r="S36" s="133"/>
      <c r="T36" s="133"/>
      <c r="U36" s="133"/>
      <c r="V36" s="133"/>
      <c r="W36" s="133"/>
      <c r="X36" s="133"/>
    </row>
    <row r="37" spans="1:24" x14ac:dyDescent="0.25">
      <c r="A37" s="277"/>
      <c r="B37" s="133"/>
      <c r="C37" s="133"/>
      <c r="D37" s="133"/>
      <c r="E37" s="133"/>
      <c r="F37" s="133"/>
      <c r="G37" s="133"/>
      <c r="H37" s="133"/>
      <c r="I37" s="133"/>
      <c r="J37" s="133"/>
      <c r="K37" s="133"/>
      <c r="L37" s="133"/>
      <c r="M37" s="133"/>
      <c r="N37" s="133"/>
      <c r="O37" s="133"/>
      <c r="P37" s="133"/>
      <c r="Q37" s="133"/>
      <c r="R37" s="133"/>
      <c r="S37" s="133"/>
      <c r="T37" s="133"/>
      <c r="U37" s="133"/>
      <c r="V37" s="133"/>
      <c r="W37" s="133"/>
      <c r="X37" s="133"/>
    </row>
    <row r="38" spans="1:24" x14ac:dyDescent="0.25">
      <c r="A38" s="133"/>
      <c r="B38" s="284"/>
      <c r="C38" s="133"/>
      <c r="D38" s="133"/>
      <c r="E38" s="133"/>
      <c r="F38" s="133"/>
      <c r="G38" s="133"/>
      <c r="H38" s="133"/>
      <c r="I38" s="133"/>
      <c r="J38" s="133"/>
      <c r="K38" s="133"/>
      <c r="L38" s="133"/>
      <c r="M38" s="133"/>
      <c r="N38" s="133"/>
      <c r="O38" s="133"/>
      <c r="P38" s="133"/>
      <c r="Q38" s="133"/>
      <c r="R38" s="133"/>
      <c r="S38" s="133"/>
      <c r="T38" s="133"/>
      <c r="U38" s="133"/>
      <c r="V38" s="133"/>
      <c r="W38" s="133"/>
      <c r="X38" s="133"/>
    </row>
    <row r="39" spans="1:24" x14ac:dyDescent="0.25">
      <c r="A39" s="133"/>
      <c r="B39" s="284"/>
      <c r="C39" s="133"/>
      <c r="D39" s="133"/>
      <c r="E39" s="133"/>
      <c r="F39" s="133"/>
      <c r="G39" s="133"/>
      <c r="H39" s="133"/>
      <c r="I39" s="133"/>
      <c r="J39" s="133"/>
      <c r="K39" s="133"/>
      <c r="L39" s="133"/>
      <c r="M39" s="133"/>
      <c r="N39" s="133"/>
      <c r="O39" s="133"/>
      <c r="P39" s="133"/>
      <c r="Q39" s="133"/>
      <c r="R39" s="133"/>
      <c r="S39" s="133"/>
      <c r="T39" s="133"/>
      <c r="U39" s="133"/>
      <c r="V39" s="133"/>
      <c r="W39" s="133"/>
      <c r="X39" s="133"/>
    </row>
    <row r="40" spans="1:24" x14ac:dyDescent="0.25">
      <c r="A40" s="285"/>
      <c r="B40" s="284"/>
      <c r="C40" s="133"/>
      <c r="D40" s="133"/>
      <c r="E40" s="133"/>
      <c r="F40" s="133"/>
      <c r="G40" s="133"/>
      <c r="H40" s="133"/>
      <c r="I40" s="133"/>
      <c r="J40" s="133"/>
      <c r="K40" s="133"/>
      <c r="L40" s="133"/>
      <c r="M40" s="133"/>
      <c r="N40" s="133"/>
      <c r="O40" s="133"/>
      <c r="P40" s="133"/>
      <c r="Q40" s="133"/>
      <c r="R40" s="133"/>
      <c r="S40" s="133"/>
      <c r="T40" s="133"/>
      <c r="U40" s="133"/>
      <c r="V40" s="133"/>
      <c r="W40" s="133"/>
      <c r="X40" s="133"/>
    </row>
    <row r="41" spans="1:24" x14ac:dyDescent="0.25">
      <c r="A41" s="133"/>
      <c r="B41" s="284"/>
      <c r="C41" s="133"/>
      <c r="D41" s="133"/>
      <c r="E41" s="133"/>
      <c r="F41" s="133"/>
      <c r="G41" s="133"/>
      <c r="H41" s="133"/>
      <c r="I41" s="133"/>
      <c r="J41" s="133"/>
      <c r="K41" s="133"/>
      <c r="L41" s="133"/>
      <c r="M41" s="133"/>
      <c r="N41" s="133"/>
      <c r="O41" s="133"/>
      <c r="P41" s="133"/>
      <c r="Q41" s="133"/>
      <c r="R41" s="133"/>
      <c r="S41" s="133"/>
      <c r="T41" s="133"/>
      <c r="U41" s="133"/>
      <c r="V41" s="133"/>
      <c r="W41" s="133"/>
      <c r="X41" s="133"/>
    </row>
    <row r="42" spans="1:24" x14ac:dyDescent="0.25">
      <c r="A42" s="133"/>
      <c r="B42" s="133"/>
      <c r="C42" s="133"/>
      <c r="D42" s="133"/>
      <c r="E42" s="133"/>
      <c r="F42" s="133"/>
      <c r="G42" s="133"/>
      <c r="H42" s="133"/>
      <c r="I42" s="133"/>
      <c r="J42" s="133"/>
      <c r="K42" s="133"/>
      <c r="L42" s="133"/>
      <c r="M42" s="133"/>
      <c r="N42" s="133"/>
      <c r="O42" s="133"/>
      <c r="P42" s="133"/>
      <c r="Q42" s="133"/>
      <c r="R42" s="133"/>
      <c r="S42" s="133"/>
      <c r="T42" s="133"/>
      <c r="U42" s="133"/>
      <c r="V42" s="133"/>
      <c r="W42" s="133"/>
      <c r="X42" s="133"/>
    </row>
    <row r="43" spans="1:24" x14ac:dyDescent="0.25">
      <c r="A43" s="133"/>
      <c r="B43" s="133"/>
      <c r="C43" s="133"/>
      <c r="D43" s="133"/>
      <c r="E43" s="133"/>
      <c r="F43" s="133"/>
      <c r="G43" s="133"/>
      <c r="H43" s="133"/>
      <c r="I43" s="133"/>
      <c r="J43" s="133"/>
      <c r="K43" s="133"/>
      <c r="L43" s="133"/>
      <c r="M43" s="133"/>
      <c r="N43" s="133"/>
      <c r="O43" s="133"/>
      <c r="P43" s="133"/>
      <c r="Q43" s="133"/>
      <c r="R43" s="133"/>
      <c r="S43" s="133"/>
      <c r="T43" s="133"/>
      <c r="U43" s="133"/>
      <c r="V43" s="133"/>
      <c r="W43" s="133"/>
      <c r="X43" s="133"/>
    </row>
    <row r="44" spans="1:24" x14ac:dyDescent="0.25">
      <c r="A44" s="133"/>
      <c r="B44" s="133"/>
      <c r="C44" s="133"/>
      <c r="D44" s="133"/>
      <c r="E44" s="133"/>
      <c r="F44" s="133"/>
      <c r="G44" s="133"/>
      <c r="H44" s="133"/>
      <c r="I44" s="133"/>
      <c r="J44" s="133"/>
      <c r="K44" s="133"/>
      <c r="L44" s="133"/>
      <c r="M44" s="133"/>
      <c r="N44" s="133"/>
      <c r="O44" s="133"/>
      <c r="P44" s="133"/>
      <c r="Q44" s="133"/>
      <c r="R44" s="133"/>
      <c r="S44" s="133"/>
      <c r="T44" s="133"/>
      <c r="U44" s="133"/>
      <c r="V44" s="133"/>
      <c r="W44" s="133"/>
      <c r="X44" s="133"/>
    </row>
    <row r="45" spans="1:24" x14ac:dyDescent="0.25">
      <c r="A45" s="133"/>
      <c r="B45" s="133"/>
      <c r="C45" s="133"/>
      <c r="D45" s="133"/>
      <c r="E45" s="133"/>
      <c r="F45" s="133"/>
      <c r="G45" s="133"/>
      <c r="H45" s="133"/>
      <c r="I45" s="133"/>
      <c r="J45" s="133"/>
      <c r="K45" s="133"/>
      <c r="L45" s="133"/>
      <c r="M45" s="133"/>
      <c r="N45" s="133"/>
      <c r="O45" s="133"/>
      <c r="P45" s="133"/>
      <c r="Q45" s="133"/>
      <c r="R45" s="133"/>
      <c r="S45" s="133"/>
      <c r="T45" s="133"/>
      <c r="U45" s="133"/>
      <c r="V45" s="133"/>
      <c r="W45" s="133"/>
      <c r="X45" s="133"/>
    </row>
    <row r="46" spans="1:24" x14ac:dyDescent="0.25">
      <c r="A46" s="133"/>
      <c r="B46" s="133"/>
      <c r="C46" s="133"/>
      <c r="D46" s="133"/>
      <c r="E46" s="133"/>
      <c r="F46" s="133"/>
      <c r="G46" s="133"/>
      <c r="H46" s="133"/>
      <c r="I46" s="133"/>
      <c r="J46" s="133"/>
      <c r="K46" s="133"/>
      <c r="L46" s="133"/>
      <c r="M46" s="133"/>
      <c r="N46" s="133"/>
      <c r="O46" s="133"/>
      <c r="P46" s="133"/>
      <c r="Q46" s="133"/>
      <c r="R46" s="133"/>
      <c r="S46" s="133"/>
      <c r="T46" s="133"/>
      <c r="U46" s="133"/>
      <c r="V46" s="133"/>
      <c r="W46" s="133"/>
      <c r="X46" s="133"/>
    </row>
    <row r="47" spans="1:24" x14ac:dyDescent="0.25">
      <c r="A47" s="133"/>
      <c r="B47" s="133"/>
      <c r="C47" s="133"/>
      <c r="D47" s="133"/>
      <c r="E47" s="133"/>
      <c r="F47" s="133"/>
      <c r="G47" s="133"/>
      <c r="H47" s="133"/>
      <c r="I47" s="133"/>
      <c r="J47" s="133"/>
      <c r="K47" s="133"/>
      <c r="L47" s="133"/>
      <c r="M47" s="133"/>
      <c r="N47" s="133"/>
      <c r="O47" s="133"/>
      <c r="P47" s="133"/>
      <c r="Q47" s="133"/>
      <c r="R47" s="133"/>
      <c r="S47" s="133"/>
      <c r="T47" s="133"/>
      <c r="U47" s="133"/>
      <c r="V47" s="133"/>
      <c r="W47" s="133"/>
      <c r="X47" s="133"/>
    </row>
    <row r="48" spans="1:24" x14ac:dyDescent="0.25">
      <c r="A48" s="133"/>
      <c r="B48" s="133"/>
      <c r="C48" s="133"/>
      <c r="D48" s="133"/>
      <c r="E48" s="133"/>
      <c r="F48" s="133"/>
      <c r="G48" s="133"/>
      <c r="H48" s="133"/>
      <c r="I48" s="133"/>
      <c r="J48" s="133"/>
      <c r="K48" s="133"/>
      <c r="L48" s="133"/>
      <c r="M48" s="133"/>
      <c r="N48" s="133"/>
      <c r="O48" s="133"/>
      <c r="P48" s="133"/>
      <c r="Q48" s="133"/>
      <c r="R48" s="133"/>
      <c r="S48" s="133"/>
      <c r="T48" s="133"/>
      <c r="U48" s="133"/>
      <c r="V48" s="133"/>
      <c r="W48" s="133"/>
      <c r="X48" s="133"/>
    </row>
    <row r="49" spans="1:24" x14ac:dyDescent="0.25">
      <c r="A49" s="133"/>
      <c r="B49" s="133"/>
      <c r="C49" s="133"/>
      <c r="D49" s="133"/>
      <c r="E49" s="133"/>
      <c r="F49" s="133"/>
      <c r="G49" s="133"/>
      <c r="H49" s="133"/>
      <c r="I49" s="133"/>
      <c r="J49" s="133"/>
      <c r="K49" s="133"/>
      <c r="L49" s="133"/>
      <c r="M49" s="133"/>
      <c r="N49" s="133"/>
      <c r="O49" s="133"/>
      <c r="P49" s="133"/>
      <c r="Q49" s="133"/>
      <c r="R49" s="133"/>
      <c r="S49" s="133"/>
      <c r="T49" s="133"/>
      <c r="U49" s="133"/>
      <c r="V49" s="133"/>
      <c r="W49" s="133"/>
      <c r="X49" s="133"/>
    </row>
    <row r="50" spans="1:24" x14ac:dyDescent="0.25">
      <c r="A50" s="133"/>
      <c r="B50" s="133"/>
      <c r="C50" s="133"/>
      <c r="D50" s="133"/>
      <c r="E50" s="133"/>
      <c r="F50" s="133"/>
      <c r="G50" s="133"/>
      <c r="H50" s="133"/>
      <c r="I50" s="133"/>
      <c r="J50" s="133"/>
      <c r="K50" s="133"/>
      <c r="L50" s="133"/>
      <c r="M50" s="133"/>
      <c r="N50" s="133"/>
      <c r="O50" s="133"/>
      <c r="P50" s="133"/>
      <c r="Q50" s="133"/>
      <c r="R50" s="133"/>
      <c r="S50" s="133"/>
      <c r="T50" s="133"/>
      <c r="U50" s="133"/>
      <c r="V50" s="133"/>
      <c r="W50" s="133"/>
      <c r="X50" s="133"/>
    </row>
    <row r="51" spans="1:24" x14ac:dyDescent="0.25">
      <c r="A51" s="133"/>
      <c r="B51" s="133"/>
      <c r="C51" s="133"/>
      <c r="D51" s="133"/>
      <c r="E51" s="133"/>
      <c r="F51" s="133"/>
      <c r="G51" s="133"/>
      <c r="H51" s="133"/>
      <c r="I51" s="133"/>
      <c r="J51" s="133"/>
      <c r="K51" s="133"/>
      <c r="L51" s="133"/>
      <c r="M51" s="133"/>
      <c r="N51" s="133"/>
      <c r="O51" s="133"/>
      <c r="P51" s="133"/>
      <c r="Q51" s="133"/>
      <c r="R51" s="133"/>
      <c r="S51" s="133"/>
      <c r="T51" s="133"/>
      <c r="U51" s="133"/>
      <c r="V51" s="133"/>
      <c r="W51" s="133"/>
      <c r="X51" s="133"/>
    </row>
    <row r="52" spans="1:24" x14ac:dyDescent="0.25">
      <c r="A52" s="133"/>
      <c r="B52" s="133"/>
      <c r="C52" s="133"/>
      <c r="D52" s="133"/>
      <c r="E52" s="133"/>
      <c r="F52" s="133"/>
      <c r="G52" s="133"/>
      <c r="H52" s="133"/>
      <c r="I52" s="133"/>
      <c r="J52" s="133"/>
      <c r="K52" s="133"/>
      <c r="L52" s="133"/>
      <c r="M52" s="133"/>
      <c r="N52" s="133"/>
      <c r="O52" s="133"/>
      <c r="P52" s="133"/>
      <c r="Q52" s="133"/>
      <c r="R52" s="133"/>
      <c r="S52" s="133"/>
      <c r="T52" s="133"/>
      <c r="U52" s="133"/>
      <c r="V52" s="133"/>
      <c r="W52" s="133"/>
      <c r="X52" s="133"/>
    </row>
    <row r="53" spans="1:24" x14ac:dyDescent="0.25">
      <c r="A53" s="133"/>
      <c r="B53" s="133"/>
      <c r="C53" s="133"/>
      <c r="D53" s="133"/>
      <c r="E53" s="133"/>
      <c r="F53" s="133"/>
      <c r="G53" s="133"/>
      <c r="H53" s="133"/>
      <c r="I53" s="133"/>
      <c r="J53" s="133"/>
      <c r="K53" s="133"/>
      <c r="L53" s="133"/>
      <c r="M53" s="133"/>
      <c r="N53" s="133"/>
      <c r="O53" s="133"/>
      <c r="P53" s="133"/>
      <c r="Q53" s="133"/>
      <c r="R53" s="133"/>
      <c r="S53" s="133"/>
      <c r="T53" s="133"/>
      <c r="U53" s="133"/>
      <c r="V53" s="133"/>
      <c r="W53" s="133"/>
      <c r="X53" s="133"/>
    </row>
    <row r="54" spans="1:24" x14ac:dyDescent="0.25">
      <c r="A54" s="133"/>
      <c r="B54" s="133"/>
      <c r="C54" s="133"/>
      <c r="D54" s="133"/>
      <c r="E54" s="133"/>
      <c r="F54" s="133"/>
      <c r="G54" s="133"/>
      <c r="H54" s="133"/>
      <c r="I54" s="133"/>
      <c r="J54" s="133"/>
      <c r="K54" s="133"/>
      <c r="L54" s="133"/>
      <c r="M54" s="133"/>
      <c r="N54" s="133"/>
      <c r="O54" s="133"/>
      <c r="P54" s="133"/>
      <c r="Q54" s="133"/>
      <c r="R54" s="133"/>
      <c r="S54" s="133"/>
      <c r="T54" s="133"/>
      <c r="U54" s="133"/>
      <c r="V54" s="133"/>
      <c r="W54" s="133"/>
      <c r="X54" s="133"/>
    </row>
    <row r="55" spans="1:24" x14ac:dyDescent="0.25">
      <c r="A55" s="133"/>
      <c r="B55" s="133"/>
      <c r="C55" s="133"/>
      <c r="D55" s="133"/>
      <c r="E55" s="133"/>
      <c r="F55" s="133"/>
      <c r="G55" s="133"/>
      <c r="H55" s="133"/>
      <c r="I55" s="133"/>
      <c r="J55" s="133"/>
      <c r="K55" s="133"/>
      <c r="L55" s="133"/>
      <c r="M55" s="133"/>
      <c r="N55" s="133"/>
      <c r="O55" s="133"/>
      <c r="P55" s="133"/>
      <c r="Q55" s="133"/>
      <c r="R55" s="133"/>
      <c r="S55" s="133"/>
      <c r="T55" s="133"/>
      <c r="U55" s="133"/>
      <c r="V55" s="133"/>
      <c r="W55" s="133"/>
      <c r="X55" s="133"/>
    </row>
    <row r="56" spans="1:24" x14ac:dyDescent="0.25">
      <c r="A56" s="133"/>
      <c r="B56" s="133"/>
      <c r="C56" s="133"/>
      <c r="D56" s="133"/>
      <c r="E56" s="133"/>
      <c r="F56" s="133"/>
      <c r="G56" s="133"/>
      <c r="H56" s="133"/>
      <c r="I56" s="133"/>
      <c r="J56" s="133"/>
      <c r="K56" s="133"/>
      <c r="L56" s="133"/>
      <c r="M56" s="133"/>
      <c r="N56" s="133"/>
      <c r="O56" s="133"/>
      <c r="P56" s="133"/>
      <c r="Q56" s="133"/>
      <c r="R56" s="133"/>
      <c r="S56" s="133"/>
      <c r="T56" s="133"/>
      <c r="U56" s="133"/>
      <c r="V56" s="133"/>
      <c r="W56" s="133"/>
      <c r="X56" s="133"/>
    </row>
    <row r="57" spans="1:24" x14ac:dyDescent="0.25">
      <c r="A57" s="133"/>
      <c r="B57" s="133"/>
      <c r="C57" s="133"/>
      <c r="D57" s="133"/>
      <c r="E57" s="133"/>
      <c r="F57" s="133"/>
      <c r="G57" s="133"/>
      <c r="H57" s="133"/>
      <c r="I57" s="133"/>
      <c r="J57" s="133"/>
      <c r="K57" s="133"/>
      <c r="L57" s="133"/>
      <c r="M57" s="133"/>
      <c r="N57" s="133"/>
      <c r="O57" s="133"/>
      <c r="P57" s="133"/>
      <c r="Q57" s="133"/>
      <c r="R57" s="133"/>
      <c r="S57" s="133"/>
      <c r="T57" s="133"/>
      <c r="U57" s="133"/>
      <c r="V57" s="133"/>
      <c r="W57" s="133"/>
      <c r="X57" s="133"/>
    </row>
    <row r="58" spans="1:24" x14ac:dyDescent="0.25">
      <c r="A58" s="133"/>
      <c r="B58" s="133"/>
      <c r="C58" s="133"/>
      <c r="D58" s="133"/>
      <c r="E58" s="133"/>
      <c r="F58" s="133"/>
      <c r="G58" s="133"/>
      <c r="H58" s="133"/>
      <c r="I58" s="133"/>
      <c r="J58" s="133"/>
      <c r="K58" s="133"/>
      <c r="L58" s="133"/>
      <c r="M58" s="133"/>
      <c r="N58" s="133"/>
      <c r="O58" s="133"/>
      <c r="P58" s="133"/>
      <c r="Q58" s="133"/>
      <c r="R58" s="133"/>
      <c r="S58" s="133"/>
      <c r="T58" s="133"/>
      <c r="U58" s="133"/>
      <c r="V58" s="133"/>
      <c r="W58" s="133"/>
      <c r="X58" s="133"/>
    </row>
    <row r="59" spans="1:24" x14ac:dyDescent="0.25">
      <c r="A59" s="133"/>
      <c r="B59" s="133"/>
      <c r="C59" s="133"/>
      <c r="D59" s="133"/>
      <c r="E59" s="133"/>
      <c r="F59" s="133"/>
      <c r="G59" s="133"/>
      <c r="H59" s="133"/>
      <c r="I59" s="133"/>
      <c r="J59" s="133"/>
      <c r="K59" s="133"/>
      <c r="L59" s="133"/>
      <c r="M59" s="133"/>
      <c r="N59" s="133"/>
      <c r="O59" s="133"/>
      <c r="P59" s="133"/>
      <c r="Q59" s="133"/>
      <c r="R59" s="133"/>
      <c r="S59" s="133"/>
      <c r="T59" s="133"/>
      <c r="U59" s="133"/>
      <c r="V59" s="133"/>
      <c r="W59" s="133"/>
      <c r="X59" s="133"/>
    </row>
    <row r="60" spans="1:24" x14ac:dyDescent="0.25">
      <c r="A60" s="133"/>
      <c r="B60" s="133"/>
      <c r="C60" s="133"/>
      <c r="D60" s="133"/>
      <c r="E60" s="133"/>
      <c r="F60" s="133"/>
      <c r="G60" s="133"/>
      <c r="H60" s="133"/>
      <c r="I60" s="133"/>
      <c r="J60" s="133"/>
      <c r="K60" s="133"/>
      <c r="L60" s="133"/>
      <c r="M60" s="133"/>
      <c r="N60" s="133"/>
      <c r="O60" s="133"/>
      <c r="P60" s="133"/>
      <c r="Q60" s="133"/>
      <c r="R60" s="133"/>
      <c r="S60" s="133"/>
      <c r="T60" s="133"/>
      <c r="U60" s="133"/>
      <c r="V60" s="133"/>
      <c r="W60" s="133"/>
      <c r="X60" s="133"/>
    </row>
    <row r="61" spans="1:24" x14ac:dyDescent="0.25">
      <c r="A61" s="133"/>
      <c r="B61" s="133"/>
      <c r="C61" s="133"/>
      <c r="D61" s="133"/>
      <c r="E61" s="133"/>
      <c r="F61" s="133"/>
      <c r="G61" s="133"/>
      <c r="H61" s="133"/>
      <c r="I61" s="133"/>
      <c r="J61" s="133"/>
      <c r="K61" s="133"/>
      <c r="L61" s="133"/>
      <c r="M61" s="133"/>
      <c r="N61" s="133"/>
      <c r="O61" s="133"/>
      <c r="P61" s="133"/>
      <c r="Q61" s="133"/>
      <c r="R61" s="133"/>
      <c r="S61" s="133"/>
      <c r="T61" s="133"/>
      <c r="U61" s="133"/>
      <c r="V61" s="133"/>
      <c r="W61" s="133"/>
      <c r="X61" s="133"/>
    </row>
    <row r="62" spans="1:24" x14ac:dyDescent="0.25">
      <c r="A62" s="133"/>
      <c r="B62" s="133"/>
      <c r="C62" s="133"/>
      <c r="D62" s="133"/>
      <c r="E62" s="133"/>
      <c r="F62" s="133"/>
      <c r="G62" s="133"/>
      <c r="H62" s="133"/>
      <c r="I62" s="133"/>
      <c r="J62" s="133"/>
      <c r="K62" s="133"/>
      <c r="L62" s="133"/>
      <c r="M62" s="133"/>
      <c r="N62" s="133"/>
      <c r="O62" s="133"/>
      <c r="P62" s="133"/>
      <c r="Q62" s="133"/>
      <c r="R62" s="133"/>
      <c r="S62" s="133"/>
      <c r="T62" s="133"/>
      <c r="U62" s="133"/>
      <c r="V62" s="133"/>
      <c r="W62" s="133"/>
      <c r="X62" s="133"/>
    </row>
    <row r="63" spans="1:24" x14ac:dyDescent="0.25">
      <c r="A63" s="133"/>
      <c r="B63" s="133"/>
      <c r="C63" s="133"/>
      <c r="D63" s="133"/>
      <c r="E63" s="133"/>
      <c r="F63" s="133"/>
      <c r="G63" s="133"/>
      <c r="H63" s="133"/>
      <c r="I63" s="133"/>
      <c r="J63" s="133"/>
      <c r="K63" s="133"/>
      <c r="L63" s="133"/>
      <c r="M63" s="133"/>
      <c r="N63" s="133"/>
      <c r="O63" s="133"/>
      <c r="P63" s="133"/>
      <c r="Q63" s="133"/>
      <c r="R63" s="133"/>
      <c r="S63" s="133"/>
      <c r="T63" s="133"/>
      <c r="U63" s="133"/>
      <c r="V63" s="133"/>
      <c r="W63" s="133"/>
      <c r="X63" s="133"/>
    </row>
    <row r="64" spans="1:24" x14ac:dyDescent="0.25">
      <c r="A64" s="133"/>
      <c r="B64" s="133"/>
      <c r="C64" s="133"/>
      <c r="D64" s="133"/>
      <c r="E64" s="133"/>
      <c r="F64" s="133"/>
      <c r="G64" s="133"/>
      <c r="H64" s="133"/>
      <c r="I64" s="133"/>
      <c r="J64" s="133"/>
      <c r="K64" s="133"/>
      <c r="L64" s="133"/>
      <c r="M64" s="133"/>
      <c r="N64" s="133"/>
      <c r="O64" s="133"/>
      <c r="P64" s="133"/>
      <c r="Q64" s="133"/>
      <c r="R64" s="133"/>
      <c r="S64" s="133"/>
      <c r="T64" s="133"/>
      <c r="U64" s="133"/>
      <c r="V64" s="133"/>
      <c r="W64" s="133"/>
      <c r="X64" s="133"/>
    </row>
    <row r="65" spans="1:24" x14ac:dyDescent="0.25">
      <c r="A65" s="133"/>
      <c r="B65" s="133"/>
      <c r="C65" s="133"/>
      <c r="D65" s="133"/>
      <c r="E65" s="133"/>
      <c r="F65" s="133"/>
      <c r="G65" s="133"/>
      <c r="H65" s="133"/>
      <c r="I65" s="133"/>
      <c r="J65" s="133"/>
      <c r="K65" s="133"/>
      <c r="L65" s="133"/>
      <c r="M65" s="133"/>
      <c r="N65" s="133"/>
      <c r="O65" s="133"/>
      <c r="P65" s="133"/>
      <c r="Q65" s="133"/>
      <c r="R65" s="133"/>
      <c r="S65" s="133"/>
      <c r="T65" s="133"/>
      <c r="U65" s="133"/>
      <c r="V65" s="133"/>
      <c r="W65" s="133"/>
      <c r="X65" s="133"/>
    </row>
    <row r="66" spans="1:24" x14ac:dyDescent="0.25">
      <c r="A66" s="133"/>
      <c r="B66" s="133"/>
      <c r="C66" s="133"/>
      <c r="D66" s="133"/>
      <c r="E66" s="133"/>
      <c r="F66" s="133"/>
      <c r="G66" s="133"/>
      <c r="H66" s="133"/>
      <c r="I66" s="133"/>
      <c r="J66" s="133"/>
      <c r="K66" s="133"/>
      <c r="L66" s="133"/>
      <c r="M66" s="133"/>
      <c r="N66" s="133"/>
      <c r="O66" s="133"/>
      <c r="P66" s="133"/>
      <c r="Q66" s="133"/>
      <c r="R66" s="133"/>
      <c r="S66" s="133"/>
      <c r="T66" s="133"/>
      <c r="U66" s="133"/>
      <c r="V66" s="133"/>
      <c r="W66" s="133"/>
      <c r="X66" s="133"/>
    </row>
    <row r="67" spans="1:24" x14ac:dyDescent="0.25">
      <c r="A67" s="133"/>
      <c r="B67" s="133"/>
      <c r="C67" s="133"/>
      <c r="D67" s="133"/>
      <c r="E67" s="133"/>
      <c r="F67" s="133"/>
      <c r="G67" s="133"/>
      <c r="H67" s="133"/>
      <c r="I67" s="133"/>
      <c r="J67" s="133"/>
      <c r="K67" s="133"/>
      <c r="L67" s="133"/>
      <c r="M67" s="133"/>
      <c r="N67" s="133"/>
      <c r="O67" s="133"/>
      <c r="P67" s="133"/>
      <c r="Q67" s="133"/>
      <c r="R67" s="133"/>
      <c r="S67" s="133"/>
      <c r="T67" s="133"/>
      <c r="U67" s="133"/>
      <c r="V67" s="133"/>
      <c r="W67" s="133"/>
      <c r="X67" s="133"/>
    </row>
    <row r="68" spans="1:24" x14ac:dyDescent="0.25">
      <c r="A68" s="133"/>
      <c r="B68" s="133"/>
      <c r="C68" s="133"/>
      <c r="D68" s="133"/>
      <c r="E68" s="133"/>
      <c r="F68" s="133"/>
      <c r="G68" s="133"/>
      <c r="H68" s="133"/>
      <c r="I68" s="133"/>
      <c r="J68" s="133"/>
      <c r="K68" s="133"/>
      <c r="L68" s="133"/>
      <c r="M68" s="133"/>
      <c r="N68" s="133"/>
      <c r="O68" s="133"/>
      <c r="P68" s="133"/>
      <c r="Q68" s="133"/>
      <c r="R68" s="133"/>
      <c r="S68" s="133"/>
      <c r="T68" s="133"/>
      <c r="U68" s="133"/>
      <c r="V68" s="133"/>
      <c r="W68" s="133"/>
      <c r="X68" s="133"/>
    </row>
    <row r="69" spans="1:24" x14ac:dyDescent="0.25">
      <c r="A69" s="133"/>
      <c r="B69" s="133"/>
      <c r="C69" s="133"/>
      <c r="D69" s="133"/>
      <c r="E69" s="133"/>
      <c r="F69" s="133"/>
      <c r="G69" s="133"/>
      <c r="H69" s="133"/>
      <c r="I69" s="133"/>
      <c r="J69" s="133"/>
      <c r="K69" s="133"/>
      <c r="L69" s="133"/>
      <c r="M69" s="133"/>
      <c r="N69" s="133"/>
      <c r="O69" s="133"/>
      <c r="P69" s="133"/>
      <c r="Q69" s="133"/>
      <c r="R69" s="133"/>
      <c r="S69" s="133"/>
      <c r="T69" s="133"/>
      <c r="U69" s="133"/>
      <c r="V69" s="133"/>
      <c r="W69" s="133"/>
      <c r="X69" s="133"/>
    </row>
  </sheetData>
  <sheetProtection formatCells="0" selectLockedCells="1"/>
  <pageMargins left="0.7" right="0.7" top="0.75" bottom="0.75" header="0.3" footer="0.3"/>
  <pageSetup paperSize="17" orientation="landscape" verticalDpi="0"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A1:H26"/>
  <sheetViews>
    <sheetView zoomScale="70" zoomScaleNormal="70" workbookViewId="0">
      <pane ySplit="11" topLeftCell="A12" activePane="bottomLeft" state="frozen"/>
      <selection pane="bottomLeft"/>
    </sheetView>
  </sheetViews>
  <sheetFormatPr defaultColWidth="9.140625" defaultRowHeight="15" x14ac:dyDescent="0.25"/>
  <cols>
    <col min="1" max="1" width="42.7109375" customWidth="1"/>
    <col min="2" max="2" width="12.28515625" customWidth="1"/>
    <col min="3" max="3" width="60.28515625" customWidth="1"/>
    <col min="4" max="4" width="71.7109375" bestFit="1" customWidth="1"/>
    <col min="5" max="5" width="16.28515625" bestFit="1" customWidth="1"/>
  </cols>
  <sheetData>
    <row r="1" spans="1:8" s="55" customFormat="1" ht="21" x14ac:dyDescent="0.35">
      <c r="A1" s="521" t="s">
        <v>300</v>
      </c>
      <c r="B1" s="120"/>
      <c r="C1" s="120"/>
      <c r="D1" s="120"/>
      <c r="E1"/>
    </row>
    <row r="2" spans="1:8" s="55" customFormat="1" ht="18" customHeight="1" x14ac:dyDescent="0.3">
      <c r="A2" s="520" t="s">
        <v>148</v>
      </c>
      <c r="B2" s="120"/>
      <c r="C2" s="120"/>
      <c r="D2" s="120"/>
      <c r="E2"/>
    </row>
    <row r="3" spans="1:8" s="55" customFormat="1" ht="16.5" thickBot="1" x14ac:dyDescent="0.3">
      <c r="A3" s="62"/>
      <c r="B3" s="62"/>
      <c r="C3" s="62"/>
      <c r="D3" s="62"/>
      <c r="E3"/>
    </row>
    <row r="4" spans="1:8" s="55" customFormat="1" ht="57" customHeight="1" thickTop="1" thickBot="1" x14ac:dyDescent="0.3">
      <c r="A4" s="656" t="s">
        <v>391</v>
      </c>
      <c r="B4" s="657"/>
      <c r="C4" s="657"/>
      <c r="D4" s="658"/>
      <c r="E4"/>
    </row>
    <row r="5" spans="1:8" ht="15.75" thickTop="1" x14ac:dyDescent="0.25"/>
    <row r="6" spans="1:8" ht="18.75" x14ac:dyDescent="0.3">
      <c r="A6" s="528" t="s">
        <v>272</v>
      </c>
      <c r="B6" s="328"/>
      <c r="C6" s="328"/>
      <c r="D6" s="329"/>
    </row>
    <row r="7" spans="1:8" ht="100.5" customHeight="1" x14ac:dyDescent="0.25">
      <c r="A7" s="653" t="s">
        <v>489</v>
      </c>
      <c r="B7" s="654"/>
      <c r="C7" s="654"/>
      <c r="D7" s="655"/>
    </row>
    <row r="9" spans="1:8" ht="15.75" x14ac:dyDescent="0.25">
      <c r="A9" s="547" t="s">
        <v>445</v>
      </c>
      <c r="B9" s="213"/>
      <c r="C9" s="147"/>
      <c r="D9" s="213"/>
    </row>
    <row r="10" spans="1:8" ht="15.75" x14ac:dyDescent="0.25">
      <c r="A10" s="211"/>
      <c r="B10" s="212"/>
      <c r="C10" s="207"/>
      <c r="D10" s="212"/>
    </row>
    <row r="11" spans="1:8" ht="15.75" x14ac:dyDescent="0.25">
      <c r="A11" s="140" t="s">
        <v>313</v>
      </c>
      <c r="B11" s="141" t="s">
        <v>271</v>
      </c>
      <c r="C11" s="142" t="s">
        <v>293</v>
      </c>
      <c r="D11" s="142" t="s">
        <v>310</v>
      </c>
    </row>
    <row r="12" spans="1:8" s="55" customFormat="1" ht="63" x14ac:dyDescent="0.25">
      <c r="A12" s="441" t="s">
        <v>110</v>
      </c>
      <c r="B12" s="439">
        <v>500</v>
      </c>
      <c r="C12" s="408" t="s">
        <v>392</v>
      </c>
      <c r="D12" s="437" t="s">
        <v>306</v>
      </c>
      <c r="E12"/>
      <c r="F12" s="133"/>
      <c r="G12" s="133"/>
      <c r="H12" s="133"/>
    </row>
    <row r="13" spans="1:8" s="55" customFormat="1" ht="63" x14ac:dyDescent="0.25">
      <c r="A13" s="442" t="s">
        <v>109</v>
      </c>
      <c r="B13" s="439">
        <v>300</v>
      </c>
      <c r="C13" s="408" t="s">
        <v>392</v>
      </c>
      <c r="D13" s="437" t="s">
        <v>306</v>
      </c>
      <c r="E13"/>
      <c r="F13" s="133"/>
      <c r="G13" s="133"/>
      <c r="H13" s="133"/>
    </row>
    <row r="14" spans="1:8" s="55" customFormat="1" ht="63" x14ac:dyDescent="0.25">
      <c r="A14" s="412" t="s">
        <v>62</v>
      </c>
      <c r="B14" s="415">
        <v>0</v>
      </c>
      <c r="C14" s="408" t="s">
        <v>392</v>
      </c>
      <c r="D14" s="437" t="s">
        <v>306</v>
      </c>
      <c r="E14"/>
      <c r="F14" s="133"/>
      <c r="G14" s="133"/>
      <c r="H14" s="133"/>
    </row>
    <row r="15" spans="1:8" s="55" customFormat="1" ht="15.75" x14ac:dyDescent="0.25">
      <c r="A15" s="443" t="s">
        <v>120</v>
      </c>
      <c r="B15" s="411">
        <v>300</v>
      </c>
      <c r="C15" s="437" t="s">
        <v>306</v>
      </c>
      <c r="D15" s="437" t="s">
        <v>306</v>
      </c>
      <c r="E15"/>
      <c r="F15" s="133"/>
      <c r="G15" s="133"/>
      <c r="H15" s="133"/>
    </row>
    <row r="16" spans="1:8" s="55" customFormat="1" ht="15.75" x14ac:dyDescent="0.25">
      <c r="A16" s="444" t="s">
        <v>106</v>
      </c>
      <c r="B16" s="411">
        <v>20</v>
      </c>
      <c r="C16" s="437" t="s">
        <v>306</v>
      </c>
      <c r="D16" s="437" t="s">
        <v>306</v>
      </c>
      <c r="E16"/>
      <c r="F16" s="133"/>
      <c r="G16" s="133"/>
      <c r="H16" s="133"/>
    </row>
    <row r="17" spans="1:8" s="55" customFormat="1" ht="31.5" x14ac:dyDescent="0.25">
      <c r="A17" s="444" t="s">
        <v>212</v>
      </c>
      <c r="B17" s="411">
        <v>3</v>
      </c>
      <c r="C17" s="437" t="s">
        <v>306</v>
      </c>
      <c r="D17" s="437" t="s">
        <v>306</v>
      </c>
      <c r="E17"/>
      <c r="F17" s="133"/>
      <c r="G17" s="133"/>
      <c r="H17" s="133"/>
    </row>
    <row r="18" spans="1:8" s="55" customFormat="1" ht="94.5" x14ac:dyDescent="0.25">
      <c r="A18" s="412" t="s">
        <v>209</v>
      </c>
      <c r="B18" s="440">
        <v>2</v>
      </c>
      <c r="C18" s="437" t="s">
        <v>306</v>
      </c>
      <c r="D18" s="438" t="s">
        <v>393</v>
      </c>
      <c r="E18"/>
      <c r="F18" s="133"/>
      <c r="G18" s="133"/>
      <c r="H18" s="133"/>
    </row>
    <row r="19" spans="1:8" s="55" customFormat="1" ht="31.5" x14ac:dyDescent="0.25">
      <c r="A19" s="412" t="s">
        <v>105</v>
      </c>
      <c r="B19" s="390">
        <v>65</v>
      </c>
      <c r="C19" s="407" t="s">
        <v>210</v>
      </c>
      <c r="D19" s="437" t="s">
        <v>306</v>
      </c>
      <c r="E19"/>
      <c r="F19" s="133"/>
      <c r="G19" s="133"/>
      <c r="H19" s="133"/>
    </row>
    <row r="26" spans="1:8" ht="21" customHeight="1" x14ac:dyDescent="0.25"/>
  </sheetData>
  <sheetProtection insertColumns="0" insertRows="0" selectLockedCells="1"/>
  <mergeCells count="2">
    <mergeCell ref="A4:D4"/>
    <mergeCell ref="A7:D7"/>
  </mergeCells>
  <pageMargins left="0.7" right="0.7" top="0.75" bottom="0.75" header="0.3" footer="0.3"/>
  <pageSetup paperSize="17" fitToWidth="0" fitToHeight="0" orientation="landscape" verticalDpi="1200" r:id="rId1"/>
  <tableParts count="1">
    <tablePart r:id="rId2"/>
  </tablePart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A1:Q13"/>
  <sheetViews>
    <sheetView zoomScale="70" zoomScaleNormal="70" workbookViewId="0">
      <pane ySplit="11" topLeftCell="A12" activePane="bottomLeft" state="frozen"/>
      <selection pane="bottomLeft"/>
    </sheetView>
  </sheetViews>
  <sheetFormatPr defaultRowHeight="15" x14ac:dyDescent="0.25"/>
  <cols>
    <col min="1" max="1" width="46.85546875" customWidth="1"/>
    <col min="2" max="2" width="52.7109375" customWidth="1"/>
    <col min="3" max="3" width="22.140625" customWidth="1"/>
    <col min="4" max="10" width="15.5703125" customWidth="1"/>
  </cols>
  <sheetData>
    <row r="1" spans="1:17" ht="21" x14ac:dyDescent="0.35">
      <c r="A1" s="521" t="s">
        <v>300</v>
      </c>
      <c r="B1" s="120"/>
      <c r="C1" s="120"/>
      <c r="D1" s="120"/>
      <c r="E1" s="120"/>
      <c r="F1" s="120"/>
      <c r="G1" s="120"/>
      <c r="H1" s="120"/>
      <c r="I1" s="120"/>
      <c r="J1" s="120"/>
    </row>
    <row r="2" spans="1:17" ht="18.75" x14ac:dyDescent="0.3">
      <c r="A2" s="520" t="s">
        <v>148</v>
      </c>
      <c r="B2" s="120"/>
      <c r="C2" s="120"/>
      <c r="D2" s="120"/>
      <c r="E2" s="120"/>
      <c r="F2" s="120"/>
      <c r="G2" s="120"/>
      <c r="H2" s="120"/>
      <c r="I2" s="120"/>
      <c r="J2" s="120"/>
    </row>
    <row r="3" spans="1:17" ht="16.5" thickBot="1" x14ac:dyDescent="0.3">
      <c r="A3" s="62"/>
      <c r="B3" s="62"/>
      <c r="C3" s="62"/>
      <c r="D3" s="62"/>
      <c r="E3" s="62"/>
      <c r="F3" s="62"/>
      <c r="G3" s="62"/>
      <c r="H3" s="62"/>
      <c r="I3" s="62"/>
      <c r="J3" s="62"/>
    </row>
    <row r="4" spans="1:17" ht="63.6" customHeight="1" thickTop="1" thickBot="1" x14ac:dyDescent="0.3">
      <c r="A4" s="656" t="s">
        <v>391</v>
      </c>
      <c r="B4" s="657"/>
      <c r="C4" s="657"/>
      <c r="D4" s="657"/>
      <c r="E4" s="657"/>
      <c r="F4" s="657"/>
      <c r="G4" s="657"/>
      <c r="H4" s="657"/>
      <c r="I4" s="657"/>
      <c r="J4" s="658"/>
    </row>
    <row r="5" spans="1:17" ht="15.75" thickTop="1" x14ac:dyDescent="0.25">
      <c r="A5" s="24"/>
      <c r="B5" s="24"/>
      <c r="C5" s="24"/>
      <c r="D5" s="24"/>
      <c r="E5" s="24"/>
      <c r="F5" s="24"/>
      <c r="G5" s="24"/>
      <c r="H5" s="24"/>
      <c r="I5" s="24"/>
      <c r="J5" s="24"/>
    </row>
    <row r="6" spans="1:17" ht="18.75" x14ac:dyDescent="0.3">
      <c r="A6" s="528" t="s">
        <v>272</v>
      </c>
      <c r="B6" s="313"/>
      <c r="C6" s="313"/>
      <c r="D6" s="313"/>
      <c r="E6" s="313"/>
      <c r="F6" s="674"/>
      <c r="G6" s="674"/>
      <c r="H6" s="674"/>
      <c r="I6" s="674"/>
      <c r="J6" s="674"/>
    </row>
    <row r="7" spans="1:17" ht="87.75" customHeight="1" x14ac:dyDescent="0.25">
      <c r="A7" s="653" t="s">
        <v>488</v>
      </c>
      <c r="B7" s="654"/>
      <c r="C7" s="654"/>
      <c r="D7" s="654"/>
      <c r="E7" s="654"/>
      <c r="F7" s="654"/>
      <c r="G7" s="654"/>
      <c r="H7" s="654"/>
      <c r="I7" s="654"/>
      <c r="J7" s="655"/>
    </row>
    <row r="9" spans="1:17" s="117" customFormat="1" ht="15.75" x14ac:dyDescent="0.25">
      <c r="A9" s="548" t="s">
        <v>483</v>
      </c>
      <c r="B9" s="147"/>
      <c r="C9" s="147"/>
      <c r="D9" s="147"/>
      <c r="E9" s="147"/>
      <c r="F9" s="147"/>
      <c r="G9" s="147"/>
      <c r="H9" s="147"/>
      <c r="I9" s="147"/>
      <c r="J9" s="147"/>
      <c r="K9"/>
      <c r="L9" s="57"/>
      <c r="M9" s="57"/>
      <c r="N9" s="57"/>
      <c r="O9" s="57"/>
      <c r="P9" s="57"/>
      <c r="Q9" s="57"/>
    </row>
    <row r="10" spans="1:17" s="117" customFormat="1" ht="15.75" x14ac:dyDescent="0.25">
      <c r="A10" s="214"/>
      <c r="B10" s="147"/>
      <c r="C10" s="147"/>
      <c r="D10" s="147"/>
      <c r="E10" s="147"/>
      <c r="F10" s="147"/>
      <c r="G10" s="147"/>
      <c r="H10" s="147"/>
      <c r="I10" s="147"/>
      <c r="J10" s="147"/>
      <c r="K10"/>
      <c r="L10" s="57"/>
      <c r="M10" s="57"/>
      <c r="N10" s="57"/>
      <c r="O10" s="57"/>
      <c r="P10" s="57"/>
      <c r="Q10" s="57"/>
    </row>
    <row r="11" spans="1:17" s="55" customFormat="1" ht="47.25" x14ac:dyDescent="0.25">
      <c r="A11" s="368" t="s">
        <v>311</v>
      </c>
      <c r="B11" s="369" t="s">
        <v>312</v>
      </c>
      <c r="C11" s="370" t="s">
        <v>264</v>
      </c>
      <c r="D11" s="349" t="s">
        <v>315</v>
      </c>
      <c r="E11" s="349" t="s">
        <v>316</v>
      </c>
      <c r="F11" s="349" t="s">
        <v>317</v>
      </c>
      <c r="G11" s="349" t="s">
        <v>318</v>
      </c>
      <c r="H11" s="349" t="s">
        <v>319</v>
      </c>
      <c r="I11" s="349" t="s">
        <v>320</v>
      </c>
      <c r="J11" s="358" t="s">
        <v>321</v>
      </c>
      <c r="K11"/>
      <c r="L11" s="61"/>
      <c r="M11" s="61"/>
      <c r="N11" s="61"/>
      <c r="O11" s="61"/>
    </row>
    <row r="12" spans="1:17" s="55" customFormat="1" ht="63" x14ac:dyDescent="0.25">
      <c r="A12" s="433" t="s">
        <v>211</v>
      </c>
      <c r="B12" s="435" t="s">
        <v>394</v>
      </c>
      <c r="C12" s="401">
        <f>PRODUCT('Project Collab - Inputs 1'!B12:B14)</f>
        <v>0</v>
      </c>
      <c r="D12" s="398">
        <v>0</v>
      </c>
      <c r="E12" s="398">
        <v>0</v>
      </c>
      <c r="F12" s="398">
        <v>0.25</v>
      </c>
      <c r="G12" s="400">
        <v>0.75</v>
      </c>
      <c r="H12" s="398">
        <v>1</v>
      </c>
      <c r="I12" s="398">
        <v>1</v>
      </c>
      <c r="J12" s="398">
        <v>1</v>
      </c>
      <c r="K12"/>
      <c r="L12" s="61"/>
      <c r="M12" s="61"/>
      <c r="N12" s="61"/>
      <c r="O12" s="61"/>
    </row>
    <row r="13" spans="1:17" s="55" customFormat="1" ht="78.75" x14ac:dyDescent="0.25">
      <c r="A13" s="434" t="s">
        <v>126</v>
      </c>
      <c r="B13" s="436" t="s">
        <v>395</v>
      </c>
      <c r="C13" s="388">
        <f>PRODUCT('Project Collab - Inputs 1'!B15:B19)</f>
        <v>2340000</v>
      </c>
      <c r="D13" s="398">
        <v>0</v>
      </c>
      <c r="E13" s="398">
        <v>0</v>
      </c>
      <c r="F13" s="398">
        <v>0.25</v>
      </c>
      <c r="G13" s="400">
        <v>0.75</v>
      </c>
      <c r="H13" s="398">
        <v>1</v>
      </c>
      <c r="I13" s="398">
        <v>1</v>
      </c>
      <c r="J13" s="398">
        <v>1</v>
      </c>
      <c r="K13"/>
      <c r="L13" s="58"/>
      <c r="M13" s="20"/>
      <c r="N13" s="20"/>
      <c r="O13" s="20"/>
    </row>
  </sheetData>
  <mergeCells count="3">
    <mergeCell ref="A4:J4"/>
    <mergeCell ref="F6:J6"/>
    <mergeCell ref="A7:J7"/>
  </mergeCells>
  <pageMargins left="0.7" right="0.7" top="0.75" bottom="0.75" header="0.3" footer="0.3"/>
  <pageSetup paperSize="17" scale="85" orientation="landscape" verticalDpi="0" r:id="rId1"/>
  <tableParts count="1">
    <tablePart r:id="rId2"/>
  </tablePart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A1:H18"/>
  <sheetViews>
    <sheetView zoomScale="70" zoomScaleNormal="70" workbookViewId="0">
      <pane ySplit="11" topLeftCell="A12" activePane="bottomLeft" state="frozen"/>
      <selection pane="bottomLeft"/>
    </sheetView>
  </sheetViews>
  <sheetFormatPr defaultRowHeight="15" x14ac:dyDescent="0.25"/>
  <cols>
    <col min="1" max="1" width="39.7109375" customWidth="1"/>
    <col min="2" max="2" width="20.7109375" customWidth="1"/>
    <col min="3" max="3" width="14.140625" customWidth="1"/>
    <col min="4" max="4" width="25.140625" customWidth="1"/>
    <col min="5" max="5" width="24.140625" customWidth="1"/>
    <col min="6" max="6" width="43.28515625" customWidth="1"/>
  </cols>
  <sheetData>
    <row r="1" spans="1:8" ht="21" x14ac:dyDescent="0.35">
      <c r="A1" s="521" t="s">
        <v>300</v>
      </c>
      <c r="B1" s="120"/>
      <c r="C1" s="120"/>
      <c r="D1" s="120"/>
      <c r="E1" s="120"/>
      <c r="F1" s="120"/>
    </row>
    <row r="2" spans="1:8" ht="18.75" x14ac:dyDescent="0.3">
      <c r="A2" s="520" t="s">
        <v>148</v>
      </c>
      <c r="B2" s="120"/>
      <c r="C2" s="120"/>
      <c r="D2" s="120"/>
      <c r="E2" s="120"/>
      <c r="F2" s="120"/>
    </row>
    <row r="3" spans="1:8" ht="16.5" thickBot="1" x14ac:dyDescent="0.3">
      <c r="A3" s="62"/>
      <c r="B3" s="62"/>
      <c r="C3" s="62"/>
      <c r="D3" s="62"/>
      <c r="E3" s="62"/>
      <c r="F3" s="62"/>
    </row>
    <row r="4" spans="1:8" ht="54" customHeight="1" thickTop="1" thickBot="1" x14ac:dyDescent="0.3">
      <c r="A4" s="656" t="s">
        <v>391</v>
      </c>
      <c r="B4" s="657"/>
      <c r="C4" s="657"/>
      <c r="D4" s="657"/>
      <c r="E4" s="657"/>
      <c r="F4" s="658"/>
    </row>
    <row r="5" spans="1:8" ht="15.75" thickTop="1" x14ac:dyDescent="0.25"/>
    <row r="6" spans="1:8" s="55" customFormat="1" ht="20.45" customHeight="1" x14ac:dyDescent="0.25">
      <c r="A6" s="534" t="s">
        <v>60</v>
      </c>
      <c r="B6" s="318"/>
      <c r="C6" s="318"/>
      <c r="D6" s="318"/>
      <c r="E6" s="318"/>
      <c r="F6" s="319"/>
      <c r="G6"/>
      <c r="H6" s="117"/>
    </row>
    <row r="7" spans="1:8" s="55" customFormat="1" ht="212.25" customHeight="1" x14ac:dyDescent="0.25">
      <c r="A7" s="653" t="s">
        <v>505</v>
      </c>
      <c r="B7" s="654"/>
      <c r="C7" s="654"/>
      <c r="D7" s="654"/>
      <c r="E7" s="654"/>
      <c r="F7" s="655"/>
      <c r="G7"/>
      <c r="H7" s="117"/>
    </row>
    <row r="8" spans="1:8" s="55" customFormat="1" ht="15.75" x14ac:dyDescent="0.25">
      <c r="A8" s="265"/>
      <c r="B8" s="265"/>
      <c r="C8" s="265"/>
      <c r="D8" s="265"/>
      <c r="E8" s="265"/>
      <c r="F8" s="265"/>
      <c r="G8"/>
      <c r="H8" s="117"/>
    </row>
    <row r="9" spans="1:8" s="55" customFormat="1" ht="15.75" x14ac:dyDescent="0.25">
      <c r="A9" s="549" t="s">
        <v>515</v>
      </c>
      <c r="B9" s="205"/>
      <c r="C9" s="205"/>
      <c r="D9" s="205"/>
      <c r="E9" s="205"/>
      <c r="F9" s="205"/>
      <c r="G9"/>
    </row>
    <row r="10" spans="1:8" s="55" customFormat="1" ht="15.75" x14ac:dyDescent="0.25">
      <c r="A10" s="206"/>
      <c r="B10" s="206"/>
      <c r="C10" s="206"/>
      <c r="D10" s="206"/>
      <c r="E10" s="206"/>
      <c r="F10" s="206"/>
      <c r="G10"/>
    </row>
    <row r="11" spans="1:8" s="55" customFormat="1" ht="15.75" x14ac:dyDescent="0.25">
      <c r="A11" s="360" t="s">
        <v>295</v>
      </c>
      <c r="B11" s="349" t="s">
        <v>296</v>
      </c>
      <c r="C11" s="349" t="s">
        <v>297</v>
      </c>
      <c r="D11" s="349" t="s">
        <v>298</v>
      </c>
      <c r="E11" s="349" t="s">
        <v>299</v>
      </c>
      <c r="F11" s="358" t="s">
        <v>280</v>
      </c>
      <c r="G11"/>
    </row>
    <row r="12" spans="1:8" s="55" customFormat="1" ht="30" customHeight="1" x14ac:dyDescent="0.25">
      <c r="A12" s="404" t="s">
        <v>80</v>
      </c>
      <c r="B12" s="410">
        <v>1</v>
      </c>
      <c r="C12" s="429">
        <v>0.5</v>
      </c>
      <c r="D12" s="430">
        <v>75000</v>
      </c>
      <c r="E12" s="431">
        <v>0.8</v>
      </c>
      <c r="F12" s="432">
        <f>B12*C12*D12*(1+E12)</f>
        <v>67500</v>
      </c>
      <c r="G12"/>
    </row>
    <row r="13" spans="1:8" s="55" customFormat="1" ht="31.5" x14ac:dyDescent="0.25">
      <c r="A13" s="404" t="s">
        <v>73</v>
      </c>
      <c r="B13" s="410">
        <v>1</v>
      </c>
      <c r="C13" s="429">
        <v>0.5</v>
      </c>
      <c r="D13" s="430">
        <v>75000</v>
      </c>
      <c r="E13" s="431">
        <v>0.8</v>
      </c>
      <c r="F13" s="432">
        <f>B13*C13*D13*(1+E13)</f>
        <v>67500</v>
      </c>
      <c r="G13"/>
    </row>
    <row r="14" spans="1:8" s="55" customFormat="1" ht="15.75" x14ac:dyDescent="0.25">
      <c r="A14" s="404" t="s">
        <v>74</v>
      </c>
      <c r="B14" s="410">
        <v>1</v>
      </c>
      <c r="C14" s="429">
        <v>1</v>
      </c>
      <c r="D14" s="430">
        <v>75000</v>
      </c>
      <c r="E14" s="431">
        <v>0.8</v>
      </c>
      <c r="F14" s="432">
        <f>B14*C14*D14*(1+E14)</f>
        <v>135000</v>
      </c>
      <c r="G14"/>
    </row>
    <row r="15" spans="1:8" s="55" customFormat="1" ht="15.75" x14ac:dyDescent="0.25">
      <c r="A15" s="404" t="s">
        <v>71</v>
      </c>
      <c r="B15" s="410">
        <v>1</v>
      </c>
      <c r="C15" s="429">
        <v>0.5</v>
      </c>
      <c r="D15" s="430">
        <v>75000</v>
      </c>
      <c r="E15" s="431">
        <v>0.8</v>
      </c>
      <c r="F15" s="432">
        <f>B15*C15*D15*(1+E15)</f>
        <v>67500</v>
      </c>
      <c r="G15"/>
    </row>
    <row r="16" spans="1:8" s="55" customFormat="1" ht="15.75" x14ac:dyDescent="0.25">
      <c r="A16" s="404" t="s">
        <v>72</v>
      </c>
      <c r="B16" s="410">
        <v>1</v>
      </c>
      <c r="C16" s="429">
        <v>0.33</v>
      </c>
      <c r="D16" s="430">
        <v>60000</v>
      </c>
      <c r="E16" s="431">
        <v>0.8</v>
      </c>
      <c r="F16" s="432">
        <f>B16*C16*D16*(1+E16)</f>
        <v>35640</v>
      </c>
      <c r="G16"/>
    </row>
    <row r="17" spans="1:7" s="55" customFormat="1" ht="14.25" customHeight="1" x14ac:dyDescent="0.25">
      <c r="A17" s="404" t="s">
        <v>152</v>
      </c>
      <c r="B17" s="404" t="s">
        <v>306</v>
      </c>
      <c r="C17" s="404" t="s">
        <v>306</v>
      </c>
      <c r="D17" s="404" t="s">
        <v>306</v>
      </c>
      <c r="E17" s="404" t="s">
        <v>306</v>
      </c>
      <c r="F17" s="432">
        <f>SUM(F12:F15)</f>
        <v>337500</v>
      </c>
      <c r="G17"/>
    </row>
    <row r="18" spans="1:7" s="55" customFormat="1" ht="14.25" customHeight="1" x14ac:dyDescent="0.25">
      <c r="A18" s="404" t="s">
        <v>153</v>
      </c>
      <c r="B18" s="404" t="s">
        <v>306</v>
      </c>
      <c r="C18" s="404" t="s">
        <v>306</v>
      </c>
      <c r="D18" s="404" t="s">
        <v>306</v>
      </c>
      <c r="E18" s="404" t="s">
        <v>306</v>
      </c>
      <c r="F18" s="432">
        <f>F16</f>
        <v>35640</v>
      </c>
      <c r="G18"/>
    </row>
  </sheetData>
  <mergeCells count="2">
    <mergeCell ref="A4:F4"/>
    <mergeCell ref="A7:F7"/>
  </mergeCells>
  <pageMargins left="0.7" right="0.7" top="0.75" bottom="0.75" header="0.3" footer="0.3"/>
  <pageSetup paperSize="17" orientation="landscape" verticalDpi="0" r:id="rId1"/>
  <tableParts count="1">
    <tablePart r:id="rId2"/>
  </tablePart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A1:S22"/>
  <sheetViews>
    <sheetView zoomScale="70" zoomScaleNormal="70" workbookViewId="0">
      <pane ySplit="11" topLeftCell="A12" activePane="bottomLeft" state="frozen"/>
      <selection pane="bottomLeft"/>
    </sheetView>
  </sheetViews>
  <sheetFormatPr defaultRowHeight="15" x14ac:dyDescent="0.25"/>
  <cols>
    <col min="1" max="1" width="41.5703125" customWidth="1"/>
    <col min="2" max="2" width="77" customWidth="1"/>
    <col min="3" max="3" width="21" customWidth="1"/>
    <col min="4" max="10" width="20.28515625" customWidth="1"/>
  </cols>
  <sheetData>
    <row r="1" spans="1:19" ht="21" x14ac:dyDescent="0.35">
      <c r="A1" s="521" t="s">
        <v>300</v>
      </c>
      <c r="B1" s="120"/>
      <c r="C1" s="120"/>
      <c r="D1" s="120"/>
      <c r="E1" s="120"/>
      <c r="F1" s="120"/>
      <c r="G1" s="120"/>
      <c r="H1" s="120"/>
      <c r="I1" s="120"/>
      <c r="J1" s="120"/>
    </row>
    <row r="2" spans="1:19" ht="18.75" x14ac:dyDescent="0.3">
      <c r="A2" s="520" t="s">
        <v>148</v>
      </c>
      <c r="B2" s="120"/>
      <c r="C2" s="120"/>
      <c r="D2" s="120"/>
      <c r="E2" s="120"/>
      <c r="F2" s="120"/>
      <c r="G2" s="120"/>
      <c r="H2" s="120"/>
      <c r="I2" s="120"/>
      <c r="J2" s="120"/>
    </row>
    <row r="3" spans="1:19" ht="16.5" thickBot="1" x14ac:dyDescent="0.3">
      <c r="A3" s="62"/>
      <c r="B3" s="62"/>
      <c r="C3" s="62"/>
      <c r="D3" s="62"/>
      <c r="E3" s="62"/>
      <c r="F3" s="62"/>
      <c r="G3" s="62"/>
      <c r="H3" s="62"/>
      <c r="I3" s="62"/>
      <c r="J3" s="62"/>
    </row>
    <row r="4" spans="1:19" ht="43.9" customHeight="1" thickTop="1" thickBot="1" x14ac:dyDescent="0.3">
      <c r="A4" s="656" t="s">
        <v>391</v>
      </c>
      <c r="B4" s="657"/>
      <c r="C4" s="657"/>
      <c r="D4" s="657"/>
      <c r="E4" s="657"/>
      <c r="F4" s="657"/>
      <c r="G4" s="657"/>
      <c r="H4" s="657"/>
      <c r="I4" s="657"/>
      <c r="J4" s="658"/>
    </row>
    <row r="5" spans="1:19" ht="15.75" thickTop="1" x14ac:dyDescent="0.25"/>
    <row r="6" spans="1:19" ht="18.75" x14ac:dyDescent="0.25">
      <c r="A6" s="534" t="s">
        <v>60</v>
      </c>
      <c r="B6" s="220"/>
      <c r="C6" s="220"/>
      <c r="D6" s="220"/>
      <c r="E6" s="220"/>
      <c r="F6" s="220"/>
      <c r="G6" s="220"/>
      <c r="H6" s="220"/>
      <c r="I6" s="220"/>
      <c r="J6" s="220"/>
    </row>
    <row r="7" spans="1:19" ht="105" customHeight="1" x14ac:dyDescent="0.25">
      <c r="A7" s="653" t="s">
        <v>506</v>
      </c>
      <c r="B7" s="654"/>
      <c r="C7" s="654"/>
      <c r="D7" s="654"/>
      <c r="E7" s="654"/>
      <c r="F7" s="654"/>
      <c r="G7" s="654"/>
      <c r="H7" s="654"/>
      <c r="I7" s="654"/>
      <c r="J7" s="655"/>
    </row>
    <row r="9" spans="1:19" s="55" customFormat="1" ht="15.75" x14ac:dyDescent="0.25">
      <c r="A9" s="550" t="s">
        <v>456</v>
      </c>
      <c r="B9" s="206"/>
      <c r="C9" s="206"/>
      <c r="D9" s="206"/>
      <c r="E9" s="80"/>
      <c r="F9" s="80"/>
      <c r="G9" s="80"/>
      <c r="H9" s="80"/>
      <c r="I9" s="80"/>
      <c r="J9" s="80"/>
      <c r="K9"/>
    </row>
    <row r="10" spans="1:19" s="55" customFormat="1" ht="15.75" x14ac:dyDescent="0.25">
      <c r="A10" s="191"/>
      <c r="B10" s="206"/>
      <c r="C10" s="206"/>
      <c r="D10" s="206"/>
      <c r="E10" s="80"/>
      <c r="F10" s="80"/>
      <c r="G10" s="80"/>
      <c r="H10" s="80"/>
      <c r="I10" s="80"/>
      <c r="J10" s="80"/>
      <c r="K10"/>
      <c r="L10" s="145"/>
      <c r="M10" s="145"/>
    </row>
    <row r="11" spans="1:19" s="55" customFormat="1" ht="31.5" x14ac:dyDescent="0.25">
      <c r="A11" s="348" t="s">
        <v>294</v>
      </c>
      <c r="B11" s="350" t="s">
        <v>293</v>
      </c>
      <c r="C11" s="349" t="s">
        <v>273</v>
      </c>
      <c r="D11" s="349" t="s">
        <v>283</v>
      </c>
      <c r="E11" s="349" t="s">
        <v>284</v>
      </c>
      <c r="F11" s="349" t="s">
        <v>285</v>
      </c>
      <c r="G11" s="349" t="s">
        <v>286</v>
      </c>
      <c r="H11" s="349" t="s">
        <v>462</v>
      </c>
      <c r="I11" s="349" t="s">
        <v>287</v>
      </c>
      <c r="J11" s="358" t="s">
        <v>288</v>
      </c>
      <c r="K11"/>
      <c r="L11" s="172"/>
      <c r="M11" s="172"/>
      <c r="N11" s="172"/>
      <c r="O11" s="172"/>
      <c r="R11" s="172"/>
      <c r="S11" s="172"/>
    </row>
    <row r="12" spans="1:19" s="55" customFormat="1" ht="42.6" customHeight="1" x14ac:dyDescent="0.25">
      <c r="A12" s="404" t="s">
        <v>50</v>
      </c>
      <c r="B12" s="406" t="s">
        <v>396</v>
      </c>
      <c r="C12" s="391">
        <f t="shared" ref="C12:C22" si="0">SUM(D12:J12)</f>
        <v>150000</v>
      </c>
      <c r="D12" s="392">
        <v>150000</v>
      </c>
      <c r="E12" s="392">
        <v>0</v>
      </c>
      <c r="F12" s="392">
        <v>0</v>
      </c>
      <c r="G12" s="392">
        <v>0</v>
      </c>
      <c r="H12" s="392">
        <v>0</v>
      </c>
      <c r="I12" s="392">
        <v>0</v>
      </c>
      <c r="J12" s="392">
        <v>0</v>
      </c>
      <c r="K12"/>
      <c r="L12" s="20"/>
      <c r="M12" s="20"/>
      <c r="N12" s="20"/>
      <c r="O12" s="20"/>
      <c r="R12" s="20"/>
      <c r="S12" s="20"/>
    </row>
    <row r="13" spans="1:19" s="55" customFormat="1" ht="35.450000000000003" customHeight="1" x14ac:dyDescent="0.25">
      <c r="A13" s="405" t="s">
        <v>51</v>
      </c>
      <c r="B13" s="402" t="s">
        <v>397</v>
      </c>
      <c r="C13" s="391">
        <f t="shared" si="0"/>
        <v>777000</v>
      </c>
      <c r="D13" s="392">
        <f>(350*200)+(10000)+(15000)+(7000)+(9000)</f>
        <v>111000</v>
      </c>
      <c r="E13" s="392">
        <f t="shared" ref="E13:J13" si="1">D13</f>
        <v>111000</v>
      </c>
      <c r="F13" s="392">
        <f t="shared" si="1"/>
        <v>111000</v>
      </c>
      <c r="G13" s="392">
        <f t="shared" si="1"/>
        <v>111000</v>
      </c>
      <c r="H13" s="392">
        <f t="shared" si="1"/>
        <v>111000</v>
      </c>
      <c r="I13" s="392">
        <f t="shared" si="1"/>
        <v>111000</v>
      </c>
      <c r="J13" s="392">
        <f t="shared" si="1"/>
        <v>111000</v>
      </c>
      <c r="K13"/>
      <c r="L13" s="20"/>
      <c r="M13" s="20"/>
      <c r="N13" s="20"/>
      <c r="O13" s="20"/>
      <c r="R13" s="20"/>
      <c r="S13" s="20"/>
    </row>
    <row r="14" spans="1:19" s="55" customFormat="1" ht="29.25" customHeight="1" x14ac:dyDescent="0.25">
      <c r="A14" s="404" t="s">
        <v>52</v>
      </c>
      <c r="B14" s="406" t="s">
        <v>398</v>
      </c>
      <c r="C14" s="391">
        <f t="shared" si="0"/>
        <v>0</v>
      </c>
      <c r="D14" s="393">
        <v>0</v>
      </c>
      <c r="E14" s="393">
        <v>0</v>
      </c>
      <c r="F14" s="392">
        <v>0</v>
      </c>
      <c r="G14" s="392">
        <v>0</v>
      </c>
      <c r="H14" s="392">
        <v>0</v>
      </c>
      <c r="I14" s="392">
        <v>0</v>
      </c>
      <c r="J14" s="392">
        <v>0</v>
      </c>
      <c r="K14"/>
      <c r="L14" s="174"/>
      <c r="M14" s="174"/>
      <c r="N14" s="174"/>
      <c r="O14" s="174"/>
      <c r="R14" s="174"/>
      <c r="S14" s="174"/>
    </row>
    <row r="15" spans="1:19" s="55" customFormat="1" ht="63" x14ac:dyDescent="0.25">
      <c r="A15" s="404" t="s">
        <v>53</v>
      </c>
      <c r="B15" s="406" t="s">
        <v>382</v>
      </c>
      <c r="C15" s="391">
        <f t="shared" si="0"/>
        <v>1100000</v>
      </c>
      <c r="D15" s="393">
        <v>300000</v>
      </c>
      <c r="E15" s="393">
        <v>800000</v>
      </c>
      <c r="F15" s="392">
        <v>0</v>
      </c>
      <c r="G15" s="392">
        <v>0</v>
      </c>
      <c r="H15" s="392">
        <v>0</v>
      </c>
      <c r="I15" s="392">
        <v>0</v>
      </c>
      <c r="J15" s="392">
        <v>0</v>
      </c>
      <c r="K15"/>
      <c r="L15" s="20"/>
      <c r="M15" s="20"/>
      <c r="N15" s="20"/>
      <c r="O15" s="20"/>
      <c r="R15" s="20"/>
      <c r="S15" s="20"/>
    </row>
    <row r="16" spans="1:19" s="55" customFormat="1" ht="25.15" customHeight="1" x14ac:dyDescent="0.25">
      <c r="A16" s="404" t="s">
        <v>54</v>
      </c>
      <c r="B16" s="406" t="s">
        <v>399</v>
      </c>
      <c r="C16" s="391">
        <f t="shared" si="0"/>
        <v>0</v>
      </c>
      <c r="D16" s="393">
        <v>0</v>
      </c>
      <c r="E16" s="393">
        <v>0</v>
      </c>
      <c r="F16" s="392">
        <v>0</v>
      </c>
      <c r="G16" s="392">
        <v>0</v>
      </c>
      <c r="H16" s="392">
        <v>0</v>
      </c>
      <c r="I16" s="392">
        <v>0</v>
      </c>
      <c r="J16" s="392">
        <v>0</v>
      </c>
      <c r="K16"/>
      <c r="L16" s="20"/>
      <c r="M16" s="20"/>
      <c r="N16" s="20"/>
      <c r="O16" s="20"/>
      <c r="R16" s="20"/>
      <c r="S16" s="20"/>
    </row>
    <row r="17" spans="1:19" s="55" customFormat="1" ht="24" customHeight="1" x14ac:dyDescent="0.25">
      <c r="A17" s="404" t="s">
        <v>55</v>
      </c>
      <c r="B17" s="406" t="s">
        <v>400</v>
      </c>
      <c r="C17" s="391">
        <f t="shared" si="0"/>
        <v>0</v>
      </c>
      <c r="D17" s="393">
        <v>0</v>
      </c>
      <c r="E17" s="393">
        <v>0</v>
      </c>
      <c r="F17" s="392">
        <v>0</v>
      </c>
      <c r="G17" s="392">
        <v>0</v>
      </c>
      <c r="H17" s="392">
        <v>0</v>
      </c>
      <c r="I17" s="392">
        <v>0</v>
      </c>
      <c r="J17" s="392">
        <v>0</v>
      </c>
      <c r="K17"/>
      <c r="L17" s="20"/>
      <c r="M17" s="20"/>
      <c r="N17" s="20"/>
      <c r="O17" s="20"/>
      <c r="R17" s="175"/>
      <c r="S17" s="175"/>
    </row>
    <row r="18" spans="1:19" s="55" customFormat="1" ht="21.75" customHeight="1" x14ac:dyDescent="0.25">
      <c r="A18" s="404" t="s">
        <v>56</v>
      </c>
      <c r="B18" s="406" t="s">
        <v>400</v>
      </c>
      <c r="C18" s="391">
        <f t="shared" si="0"/>
        <v>0</v>
      </c>
      <c r="D18" s="393">
        <v>0</v>
      </c>
      <c r="E18" s="393">
        <v>0</v>
      </c>
      <c r="F18" s="392">
        <v>0</v>
      </c>
      <c r="G18" s="392">
        <v>0</v>
      </c>
      <c r="H18" s="392">
        <v>0</v>
      </c>
      <c r="I18" s="392">
        <v>0</v>
      </c>
      <c r="J18" s="392">
        <v>0</v>
      </c>
      <c r="K18"/>
      <c r="L18" s="174"/>
      <c r="M18" s="174"/>
      <c r="N18" s="174"/>
      <c r="O18" s="174"/>
      <c r="R18" s="174"/>
      <c r="S18" s="174"/>
    </row>
    <row r="19" spans="1:19" s="55" customFormat="1" ht="24.6" customHeight="1" x14ac:dyDescent="0.25">
      <c r="A19" s="404" t="s">
        <v>151</v>
      </c>
      <c r="B19" s="406" t="s">
        <v>306</v>
      </c>
      <c r="C19" s="391">
        <f t="shared" si="0"/>
        <v>0</v>
      </c>
      <c r="D19" s="393">
        <v>0</v>
      </c>
      <c r="E19" s="393">
        <v>0</v>
      </c>
      <c r="F19" s="392">
        <v>0</v>
      </c>
      <c r="G19" s="392">
        <v>0</v>
      </c>
      <c r="H19" s="392">
        <v>0</v>
      </c>
      <c r="I19" s="392">
        <v>0</v>
      </c>
      <c r="J19" s="392">
        <v>0</v>
      </c>
      <c r="K19"/>
      <c r="L19" s="20"/>
      <c r="M19" s="20"/>
      <c r="N19" s="20"/>
      <c r="O19" s="20"/>
      <c r="R19" s="175"/>
      <c r="S19" s="175"/>
    </row>
    <row r="20" spans="1:19" s="55" customFormat="1" ht="25.5" customHeight="1" x14ac:dyDescent="0.25">
      <c r="A20" s="404" t="s">
        <v>57</v>
      </c>
      <c r="B20" s="406" t="s">
        <v>401</v>
      </c>
      <c r="C20" s="391">
        <f t="shared" si="0"/>
        <v>650000</v>
      </c>
      <c r="D20" s="392">
        <v>325000</v>
      </c>
      <c r="E20" s="392">
        <v>325000</v>
      </c>
      <c r="F20" s="392">
        <v>0</v>
      </c>
      <c r="G20" s="392">
        <v>0</v>
      </c>
      <c r="H20" s="392">
        <v>0</v>
      </c>
      <c r="I20" s="392">
        <v>0</v>
      </c>
      <c r="J20" s="392">
        <v>0</v>
      </c>
      <c r="K20"/>
      <c r="M20" s="20"/>
      <c r="N20" s="20"/>
      <c r="O20" s="20"/>
      <c r="R20" s="20"/>
      <c r="S20" s="20"/>
    </row>
    <row r="21" spans="1:19" s="55" customFormat="1" ht="33" customHeight="1" x14ac:dyDescent="0.25">
      <c r="A21" s="404" t="s">
        <v>59</v>
      </c>
      <c r="B21" s="406" t="s">
        <v>402</v>
      </c>
      <c r="C21" s="391">
        <f t="shared" si="0"/>
        <v>189000</v>
      </c>
      <c r="D21" s="392">
        <v>0</v>
      </c>
      <c r="E21" s="392">
        <v>9000</v>
      </c>
      <c r="F21" s="392">
        <v>36000</v>
      </c>
      <c r="G21" s="392">
        <v>36000</v>
      </c>
      <c r="H21" s="392">
        <v>36000</v>
      </c>
      <c r="I21" s="392">
        <v>36000</v>
      </c>
      <c r="J21" s="392">
        <v>36000</v>
      </c>
      <c r="K21"/>
      <c r="M21" s="20"/>
      <c r="N21" s="20"/>
      <c r="O21" s="242"/>
      <c r="R21" s="20"/>
      <c r="S21" s="20"/>
    </row>
    <row r="22" spans="1:19" s="55" customFormat="1" ht="30" customHeight="1" x14ac:dyDescent="0.25">
      <c r="A22" s="404" t="s">
        <v>58</v>
      </c>
      <c r="B22" s="406" t="s">
        <v>306</v>
      </c>
      <c r="C22" s="391">
        <f t="shared" si="0"/>
        <v>0</v>
      </c>
      <c r="D22" s="392">
        <v>0</v>
      </c>
      <c r="E22" s="392">
        <v>0</v>
      </c>
      <c r="F22" s="392">
        <v>0</v>
      </c>
      <c r="G22" s="392">
        <v>0</v>
      </c>
      <c r="H22" s="392">
        <v>0</v>
      </c>
      <c r="I22" s="392">
        <v>0</v>
      </c>
      <c r="J22" s="392">
        <v>0</v>
      </c>
      <c r="K22"/>
      <c r="L22" s="20"/>
      <c r="M22" s="20"/>
      <c r="N22" s="20"/>
      <c r="O22" s="20"/>
      <c r="R22" s="20"/>
      <c r="S22" s="20"/>
    </row>
  </sheetData>
  <mergeCells count="2">
    <mergeCell ref="A4:J4"/>
    <mergeCell ref="A7:J7"/>
  </mergeCells>
  <pageMargins left="0.7" right="0.7" top="0.75" bottom="0.75" header="0.3" footer="0.3"/>
  <pageSetup paperSize="17" scale="70" orientation="landscape" verticalDpi="0" r:id="rId1"/>
  <tableParts count="1">
    <tablePart r:id="rId2"/>
  </tablePart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A1:O54"/>
  <sheetViews>
    <sheetView topLeftCell="A4" zoomScale="70" zoomScaleNormal="70" workbookViewId="0">
      <pane ySplit="9" topLeftCell="A13" activePane="bottomLeft" state="frozen"/>
      <selection activeCell="A4" sqref="A4"/>
      <selection pane="bottomLeft" activeCell="A4" sqref="A4:I4"/>
    </sheetView>
  </sheetViews>
  <sheetFormatPr defaultColWidth="9.140625" defaultRowHeight="15.75" x14ac:dyDescent="0.25"/>
  <cols>
    <col min="1" max="1" width="64.5703125" style="55" customWidth="1"/>
    <col min="2" max="2" width="16.85546875" style="55" customWidth="1"/>
    <col min="3" max="3" width="13.140625" style="55" customWidth="1"/>
    <col min="4" max="4" width="16.7109375" style="55" bestFit="1" customWidth="1"/>
    <col min="5" max="5" width="16.5703125" style="55" bestFit="1" customWidth="1"/>
    <col min="6" max="6" width="15.7109375" style="55" bestFit="1" customWidth="1"/>
    <col min="7" max="9" width="15.85546875" style="55" bestFit="1" customWidth="1"/>
    <col min="10" max="10" width="9.140625" style="117"/>
    <col min="11" max="11" width="14.42578125" style="117" bestFit="1" customWidth="1"/>
    <col min="12" max="16384" width="9.140625" style="117"/>
  </cols>
  <sheetData>
    <row r="1" spans="1:15" ht="21" x14ac:dyDescent="0.35">
      <c r="A1" s="521" t="s">
        <v>291</v>
      </c>
      <c r="B1" s="120"/>
      <c r="C1" s="120"/>
      <c r="D1" s="120"/>
      <c r="E1" s="120"/>
      <c r="F1" s="120"/>
      <c r="G1" s="120"/>
      <c r="H1" s="120"/>
      <c r="I1" s="120"/>
      <c r="J1" s="119"/>
      <c r="K1" s="119"/>
      <c r="L1" s="119"/>
      <c r="M1" s="119"/>
      <c r="N1" s="119"/>
      <c r="O1" s="119"/>
    </row>
    <row r="2" spans="1:15" ht="18.75" x14ac:dyDescent="0.3">
      <c r="A2" s="520" t="s">
        <v>154</v>
      </c>
      <c r="B2" s="120"/>
      <c r="C2" s="120"/>
      <c r="D2" s="120"/>
      <c r="E2" s="120"/>
      <c r="F2" s="120"/>
      <c r="G2" s="120"/>
      <c r="H2" s="120"/>
      <c r="I2" s="120"/>
      <c r="J2" s="119"/>
      <c r="K2" s="119"/>
      <c r="L2" s="119"/>
      <c r="M2" s="119"/>
      <c r="N2" s="119"/>
      <c r="O2" s="119"/>
    </row>
    <row r="3" spans="1:15" ht="16.5" thickBot="1" x14ac:dyDescent="0.3">
      <c r="A3" s="63"/>
      <c r="B3" s="64"/>
      <c r="C3" s="64"/>
      <c r="D3" s="64"/>
      <c r="E3" s="64"/>
      <c r="F3" s="64"/>
      <c r="G3" s="64"/>
      <c r="H3" s="64"/>
      <c r="I3" s="64"/>
      <c r="J3" s="119"/>
      <c r="K3" s="119"/>
      <c r="L3" s="119"/>
      <c r="M3" s="119"/>
      <c r="N3" s="119"/>
      <c r="O3" s="119"/>
    </row>
    <row r="4" spans="1:15" ht="52.5" customHeight="1" thickTop="1" thickBot="1" x14ac:dyDescent="0.3">
      <c r="A4" s="626" t="s">
        <v>403</v>
      </c>
      <c r="B4" s="627"/>
      <c r="C4" s="627"/>
      <c r="D4" s="627"/>
      <c r="E4" s="627"/>
      <c r="F4" s="627"/>
      <c r="G4" s="627"/>
      <c r="H4" s="627"/>
      <c r="I4" s="628"/>
      <c r="J4" s="119"/>
      <c r="K4" s="119"/>
      <c r="L4" s="119"/>
      <c r="M4" s="119"/>
      <c r="N4" s="119"/>
      <c r="O4" s="119"/>
    </row>
    <row r="5" spans="1:15" ht="16.5" thickTop="1" x14ac:dyDescent="0.25">
      <c r="A5" s="130"/>
      <c r="B5" s="130"/>
      <c r="C5" s="130"/>
      <c r="D5" s="130"/>
      <c r="E5" s="130"/>
      <c r="F5" s="130"/>
      <c r="G5" s="130"/>
      <c r="H5" s="130"/>
      <c r="I5" s="133"/>
      <c r="J5" s="119"/>
      <c r="K5" s="119"/>
      <c r="L5" s="119"/>
      <c r="M5" s="119"/>
      <c r="N5" s="119"/>
      <c r="O5" s="119"/>
    </row>
    <row r="6" spans="1:15" ht="99" customHeight="1" x14ac:dyDescent="0.25">
      <c r="A6" s="647" t="s">
        <v>535</v>
      </c>
      <c r="B6" s="676"/>
      <c r="C6" s="676"/>
      <c r="D6" s="676"/>
      <c r="E6" s="676"/>
      <c r="F6" s="676"/>
      <c r="G6" s="676"/>
      <c r="H6" s="676"/>
      <c r="I6" s="677"/>
      <c r="J6" s="119"/>
      <c r="K6" s="119"/>
      <c r="L6" s="119"/>
      <c r="M6" s="119"/>
      <c r="N6" s="119"/>
      <c r="O6" s="119"/>
    </row>
    <row r="7" spans="1:15" x14ac:dyDescent="0.25">
      <c r="A7" s="130"/>
      <c r="B7" s="130"/>
      <c r="C7" s="130"/>
      <c r="D7" s="130"/>
      <c r="E7" s="130"/>
      <c r="F7" s="130"/>
      <c r="G7" s="130"/>
      <c r="H7" s="130"/>
      <c r="I7" s="133"/>
      <c r="J7" s="119"/>
      <c r="K7" s="119"/>
      <c r="L7" s="119"/>
      <c r="M7" s="119"/>
      <c r="N7" s="119"/>
      <c r="O7" s="119"/>
    </row>
    <row r="8" spans="1:15" x14ac:dyDescent="0.25">
      <c r="A8" s="642" t="s">
        <v>520</v>
      </c>
      <c r="B8" s="643"/>
      <c r="C8" s="643"/>
      <c r="D8" s="643"/>
      <c r="E8" s="643"/>
      <c r="F8" s="643"/>
      <c r="G8" s="643"/>
      <c r="H8" s="643"/>
      <c r="I8" s="643"/>
      <c r="J8" s="119"/>
      <c r="K8" s="119"/>
      <c r="L8" s="119"/>
      <c r="M8" s="119"/>
      <c r="N8" s="119"/>
      <c r="O8" s="119"/>
    </row>
    <row r="9" spans="1:15" ht="89.45" customHeight="1" x14ac:dyDescent="0.25">
      <c r="A9" s="675" t="s">
        <v>460</v>
      </c>
      <c r="B9" s="675"/>
      <c r="C9" s="675"/>
      <c r="D9" s="675"/>
      <c r="E9" s="675"/>
      <c r="F9" s="675"/>
      <c r="G9" s="675"/>
      <c r="H9" s="675"/>
      <c r="I9" s="675"/>
      <c r="J9" s="119"/>
      <c r="K9" s="119"/>
      <c r="L9" s="119"/>
      <c r="M9" s="119"/>
      <c r="N9" s="119"/>
      <c r="O9" s="119"/>
    </row>
    <row r="10" spans="1:15" s="133" customFormat="1" x14ac:dyDescent="0.25">
      <c r="A10" s="178"/>
      <c r="B10" s="179"/>
      <c r="C10" s="180"/>
      <c r="D10" s="180"/>
      <c r="E10" s="180"/>
      <c r="F10" s="180"/>
      <c r="G10" s="180"/>
      <c r="H10" s="180"/>
      <c r="I10" s="180"/>
    </row>
    <row r="11" spans="1:15" x14ac:dyDescent="0.25">
      <c r="A11" s="339" t="s">
        <v>521</v>
      </c>
      <c r="B11" s="340" t="s">
        <v>522</v>
      </c>
      <c r="C11" s="340" t="s">
        <v>523</v>
      </c>
      <c r="D11" s="340" t="s">
        <v>524</v>
      </c>
      <c r="E11" s="340" t="s">
        <v>525</v>
      </c>
      <c r="F11" s="340" t="s">
        <v>526</v>
      </c>
      <c r="G11" s="340" t="s">
        <v>527</v>
      </c>
      <c r="H11" s="340" t="s">
        <v>528</v>
      </c>
      <c r="I11" s="341" t="s">
        <v>529</v>
      </c>
    </row>
    <row r="12" spans="1:15" hidden="1" x14ac:dyDescent="0.25">
      <c r="A12" s="337"/>
      <c r="B12" s="260"/>
      <c r="C12" s="260">
        <v>1</v>
      </c>
      <c r="D12" s="260">
        <v>2</v>
      </c>
      <c r="E12" s="260">
        <v>3</v>
      </c>
      <c r="F12" s="260">
        <v>4</v>
      </c>
      <c r="G12" s="260">
        <v>5</v>
      </c>
      <c r="H12" s="260">
        <v>6</v>
      </c>
      <c r="I12" s="338">
        <v>7</v>
      </c>
    </row>
    <row r="13" spans="1:15" ht="42.75" customHeight="1" x14ac:dyDescent="0.25">
      <c r="A13" s="417" t="str">
        <f>'Project Collab - Inputs 2'!$A12</f>
        <v>Eliminated use of paper, printing, mailing, faxing, scanning, and reduced paper storage requirements</v>
      </c>
      <c r="B13" s="383">
        <f>SUM(C13:I13)</f>
        <v>0</v>
      </c>
      <c r="C13" s="384">
        <f>'Project Collab - Inputs 2'!$C12*'Project Collab - Inputs 2'!D12</f>
        <v>0</v>
      </c>
      <c r="D13" s="384">
        <f>'Project Collab - Inputs 2'!$C12*'Project Collab - Inputs 2'!E12</f>
        <v>0</v>
      </c>
      <c r="E13" s="384">
        <f>'Project Collab - Inputs 2'!$C12*'Project Collab - Inputs 2'!F12</f>
        <v>0</v>
      </c>
      <c r="F13" s="384">
        <f>'Project Collab - Inputs 2'!$C12*'Project Collab - Inputs 2'!G12</f>
        <v>0</v>
      </c>
      <c r="G13" s="384">
        <f>'Project Collab - Inputs 2'!$C12*'Project Collab - Inputs 2'!H12</f>
        <v>0</v>
      </c>
      <c r="H13" s="384">
        <f>'Project Collab - Inputs 2'!$C12*'Project Collab - Inputs 2'!I12</f>
        <v>0</v>
      </c>
      <c r="I13" s="384">
        <f>'Project Collab - Inputs 2'!$C12*'Project Collab - Inputs 2'!J12</f>
        <v>0</v>
      </c>
    </row>
    <row r="14" spans="1:15" ht="63" x14ac:dyDescent="0.25">
      <c r="A14" s="417" t="str">
        <f>'Project Collab - Inputs 2'!$A13</f>
        <v>Increase in the overall efficiency and effectiveness of the delivery of the agency’s construction program by streamlining and standardizing key processes (e.g., faster review and approvals)</v>
      </c>
      <c r="B14" s="383">
        <f>SUM(C14:I14)</f>
        <v>9360000</v>
      </c>
      <c r="C14" s="384">
        <f>'Project Collab - Inputs 2'!$C13*'Project Collab - Inputs 2'!D13</f>
        <v>0</v>
      </c>
      <c r="D14" s="384">
        <f>'Project Collab - Inputs 2'!$C13*'Project Collab - Inputs 2'!E13</f>
        <v>0</v>
      </c>
      <c r="E14" s="384">
        <f>'Project Collab - Inputs 2'!$C13*'Project Collab - Inputs 2'!F13</f>
        <v>585000</v>
      </c>
      <c r="F14" s="384">
        <f>'Project Collab - Inputs 2'!$C13*'Project Collab - Inputs 2'!G13</f>
        <v>1755000</v>
      </c>
      <c r="G14" s="384">
        <f>'Project Collab - Inputs 2'!$C13*'Project Collab - Inputs 2'!H13</f>
        <v>2340000</v>
      </c>
      <c r="H14" s="384">
        <f>'Project Collab - Inputs 2'!$C13*'Project Collab - Inputs 2'!I13</f>
        <v>2340000</v>
      </c>
      <c r="I14" s="384">
        <f>'Project Collab - Inputs 2'!$C13*'Project Collab - Inputs 2'!J13</f>
        <v>2340000</v>
      </c>
    </row>
    <row r="15" spans="1:15" x14ac:dyDescent="0.25">
      <c r="A15" s="395" t="s">
        <v>26</v>
      </c>
      <c r="B15" s="383">
        <f t="shared" ref="B15:I15" si="0">SUM(B13:B14)</f>
        <v>9360000</v>
      </c>
      <c r="C15" s="383">
        <f t="shared" si="0"/>
        <v>0</v>
      </c>
      <c r="D15" s="383">
        <f t="shared" si="0"/>
        <v>0</v>
      </c>
      <c r="E15" s="383">
        <f t="shared" si="0"/>
        <v>585000</v>
      </c>
      <c r="F15" s="383">
        <f t="shared" si="0"/>
        <v>1755000</v>
      </c>
      <c r="G15" s="383">
        <f t="shared" si="0"/>
        <v>2340000</v>
      </c>
      <c r="H15" s="383">
        <f t="shared" si="0"/>
        <v>2340000</v>
      </c>
      <c r="I15" s="383">
        <f t="shared" si="0"/>
        <v>2340000</v>
      </c>
    </row>
    <row r="16" spans="1:15" x14ac:dyDescent="0.25">
      <c r="A16" s="374"/>
      <c r="B16" s="378"/>
      <c r="C16" s="379"/>
      <c r="D16" s="379"/>
      <c r="E16" s="379"/>
      <c r="F16" s="379"/>
      <c r="G16" s="379"/>
      <c r="H16" s="379"/>
      <c r="I16" s="380"/>
    </row>
    <row r="17" spans="1:11" x14ac:dyDescent="0.25">
      <c r="A17" s="339" t="s">
        <v>530</v>
      </c>
      <c r="B17" s="340" t="s">
        <v>522</v>
      </c>
      <c r="C17" s="340" t="s">
        <v>523</v>
      </c>
      <c r="D17" s="340" t="s">
        <v>524</v>
      </c>
      <c r="E17" s="340" t="s">
        <v>525</v>
      </c>
      <c r="F17" s="340" t="s">
        <v>526</v>
      </c>
      <c r="G17" s="340" t="s">
        <v>527</v>
      </c>
      <c r="H17" s="340" t="s">
        <v>528</v>
      </c>
      <c r="I17" s="341" t="s">
        <v>529</v>
      </c>
    </row>
    <row r="18" spans="1:11" x14ac:dyDescent="0.25">
      <c r="A18" s="382" t="str">
        <f>'Project Collab - Inputs 4'!$A12</f>
        <v>Pre-implementation planning consultant</v>
      </c>
      <c r="B18" s="383">
        <f>'Project Collab - Inputs 4'!C12</f>
        <v>150000</v>
      </c>
      <c r="C18" s="384">
        <f>'Project Collab - Inputs 4'!D12</f>
        <v>150000</v>
      </c>
      <c r="D18" s="384">
        <f>'Project Collab - Inputs 4'!E12</f>
        <v>0</v>
      </c>
      <c r="E18" s="384">
        <f>'Project Collab - Inputs 4'!F12</f>
        <v>0</v>
      </c>
      <c r="F18" s="384">
        <f>'Project Collab - Inputs 4'!G12</f>
        <v>0</v>
      </c>
      <c r="G18" s="384">
        <f>'Project Collab - Inputs 4'!H12</f>
        <v>0</v>
      </c>
      <c r="H18" s="384">
        <f>'Project Collab - Inputs 4'!I12</f>
        <v>0</v>
      </c>
      <c r="I18" s="384">
        <f>'Project Collab - Inputs 4'!J12</f>
        <v>0</v>
      </c>
    </row>
    <row r="19" spans="1:11" x14ac:dyDescent="0.25">
      <c r="A19" s="418" t="str">
        <f>'Project Collab - Inputs 4'!A13</f>
        <v>COTS software licenses</v>
      </c>
      <c r="B19" s="383">
        <f>'Project Collab - Inputs 4'!C13</f>
        <v>777000</v>
      </c>
      <c r="C19" s="384">
        <f>'Project Collab - Inputs 4'!D13</f>
        <v>111000</v>
      </c>
      <c r="D19" s="384">
        <f>'Project Collab - Inputs 4'!E13</f>
        <v>111000</v>
      </c>
      <c r="E19" s="384">
        <f>'Project Collab - Inputs 4'!F13</f>
        <v>111000</v>
      </c>
      <c r="F19" s="384">
        <f>'Project Collab - Inputs 4'!G13</f>
        <v>111000</v>
      </c>
      <c r="G19" s="384">
        <f>'Project Collab - Inputs 4'!H13</f>
        <v>111000</v>
      </c>
      <c r="H19" s="384">
        <f>'Project Collab - Inputs 4'!I13</f>
        <v>111000</v>
      </c>
      <c r="I19" s="384">
        <f>'Project Collab - Inputs 4'!J13</f>
        <v>111000</v>
      </c>
    </row>
    <row r="20" spans="1:11" x14ac:dyDescent="0.25">
      <c r="A20" s="382" t="str">
        <f>'Project Collab - Inputs 4'!$A14</f>
        <v>COTS software maintenance</v>
      </c>
      <c r="B20" s="383">
        <f>'Project Collab - Inputs 4'!C14</f>
        <v>0</v>
      </c>
      <c r="C20" s="384">
        <f>'Project Collab - Inputs 4'!D14</f>
        <v>0</v>
      </c>
      <c r="D20" s="384">
        <f>'Project Collab - Inputs 4'!E14</f>
        <v>0</v>
      </c>
      <c r="E20" s="384">
        <f>'Project Collab - Inputs 4'!F14</f>
        <v>0</v>
      </c>
      <c r="F20" s="384">
        <f>'Project Collab - Inputs 4'!G14</f>
        <v>0</v>
      </c>
      <c r="G20" s="384">
        <f>'Project Collab - Inputs 4'!H14</f>
        <v>0</v>
      </c>
      <c r="H20" s="384">
        <f>'Project Collab - Inputs 4'!I14</f>
        <v>0</v>
      </c>
      <c r="I20" s="384">
        <f>'Project Collab - Inputs 4'!J14</f>
        <v>0</v>
      </c>
    </row>
    <row r="21" spans="1:11" x14ac:dyDescent="0.25">
      <c r="A21" s="382" t="str">
        <f>'Project Collab - Inputs 4'!$A15</f>
        <v>Systems integration services</v>
      </c>
      <c r="B21" s="383">
        <f>'Project Collab - Inputs 4'!C15</f>
        <v>1100000</v>
      </c>
      <c r="C21" s="384">
        <f>'Project Collab - Inputs 4'!D15</f>
        <v>300000</v>
      </c>
      <c r="D21" s="384">
        <f>'Project Collab - Inputs 4'!E15</f>
        <v>800000</v>
      </c>
      <c r="E21" s="384">
        <f>'Project Collab - Inputs 4'!F15</f>
        <v>0</v>
      </c>
      <c r="F21" s="384">
        <f>'Project Collab - Inputs 4'!G15</f>
        <v>0</v>
      </c>
      <c r="G21" s="384">
        <f>'Project Collab - Inputs 4'!H15</f>
        <v>0</v>
      </c>
      <c r="H21" s="384">
        <f>'Project Collab - Inputs 4'!I15</f>
        <v>0</v>
      </c>
      <c r="I21" s="384">
        <f>'Project Collab - Inputs 4'!J15</f>
        <v>0</v>
      </c>
    </row>
    <row r="22" spans="1:11" x14ac:dyDescent="0.25">
      <c r="A22" s="382" t="str">
        <f>'Project Collab - Inputs 4'!$A16</f>
        <v xml:space="preserve">Managed services support </v>
      </c>
      <c r="B22" s="383">
        <f>'Project Collab - Inputs 4'!C16</f>
        <v>0</v>
      </c>
      <c r="C22" s="384">
        <f>'Project Collab - Inputs 4'!D16</f>
        <v>0</v>
      </c>
      <c r="D22" s="384">
        <f>'Project Collab - Inputs 4'!E16</f>
        <v>0</v>
      </c>
      <c r="E22" s="384">
        <f>'Project Collab - Inputs 4'!F16</f>
        <v>0</v>
      </c>
      <c r="F22" s="384">
        <f>'Project Collab - Inputs 4'!G16</f>
        <v>0</v>
      </c>
      <c r="G22" s="384">
        <f>'Project Collab - Inputs 4'!H16</f>
        <v>0</v>
      </c>
      <c r="H22" s="384">
        <f>'Project Collab - Inputs 4'!I16</f>
        <v>0</v>
      </c>
      <c r="I22" s="384">
        <f>'Project Collab - Inputs 4'!J16</f>
        <v>0</v>
      </c>
    </row>
    <row r="23" spans="1:11" x14ac:dyDescent="0.25">
      <c r="A23" s="382" t="str">
        <f>'Project Collab - Inputs 4'!$A17</f>
        <v>Hardware and other technical infrastructure</v>
      </c>
      <c r="B23" s="383">
        <f>'Project Collab - Inputs 4'!C17</f>
        <v>0</v>
      </c>
      <c r="C23" s="384">
        <f>'Project Collab - Inputs 4'!D17</f>
        <v>0</v>
      </c>
      <c r="D23" s="384">
        <f>'Project Collab - Inputs 4'!E17</f>
        <v>0</v>
      </c>
      <c r="E23" s="384">
        <f>'Project Collab - Inputs 4'!F17</f>
        <v>0</v>
      </c>
      <c r="F23" s="384">
        <f>'Project Collab - Inputs 4'!G17</f>
        <v>0</v>
      </c>
      <c r="G23" s="384">
        <f>'Project Collab - Inputs 4'!H17</f>
        <v>0</v>
      </c>
      <c r="H23" s="384">
        <f>'Project Collab - Inputs 4'!I17</f>
        <v>0</v>
      </c>
      <c r="I23" s="384">
        <f>'Project Collab - Inputs 4'!J17</f>
        <v>0</v>
      </c>
    </row>
    <row r="24" spans="1:11" x14ac:dyDescent="0.25">
      <c r="A24" s="382" t="str">
        <f>'Project Collab - Inputs 4'!$A18</f>
        <v>Hardware and infrastructure maintenance</v>
      </c>
      <c r="B24" s="383">
        <f>'Project Collab - Inputs 4'!C18</f>
        <v>0</v>
      </c>
      <c r="C24" s="384">
        <f>'Project Collab - Inputs 4'!D18</f>
        <v>0</v>
      </c>
      <c r="D24" s="384">
        <f>'Project Collab - Inputs 4'!E18</f>
        <v>0</v>
      </c>
      <c r="E24" s="384">
        <f>'Project Collab - Inputs 4'!F18</f>
        <v>0</v>
      </c>
      <c r="F24" s="384">
        <f>'Project Collab - Inputs 4'!G18</f>
        <v>0</v>
      </c>
      <c r="G24" s="384">
        <f>'Project Collab - Inputs 4'!H18</f>
        <v>0</v>
      </c>
      <c r="H24" s="384">
        <f>'Project Collab - Inputs 4'!I18</f>
        <v>0</v>
      </c>
      <c r="I24" s="384">
        <f>'Project Collab - Inputs 4'!J18</f>
        <v>0</v>
      </c>
    </row>
    <row r="25" spans="1:11" x14ac:dyDescent="0.25">
      <c r="A25" s="382" t="str">
        <f>'Project Collab - Inputs 4'!$A19</f>
        <v>Hardware replacement/updates</v>
      </c>
      <c r="B25" s="383">
        <f>'Project Collab - Inputs 4'!C19</f>
        <v>0</v>
      </c>
      <c r="C25" s="384">
        <f>'Project Collab - Inputs 4'!D19</f>
        <v>0</v>
      </c>
      <c r="D25" s="384">
        <f>'Project Collab - Inputs 4'!E19</f>
        <v>0</v>
      </c>
      <c r="E25" s="384">
        <f>'Project Collab - Inputs 4'!F19</f>
        <v>0</v>
      </c>
      <c r="F25" s="384">
        <f>'Project Collab - Inputs 4'!G19</f>
        <v>0</v>
      </c>
      <c r="G25" s="384">
        <f>'Project Collab - Inputs 4'!H19</f>
        <v>0</v>
      </c>
      <c r="H25" s="384">
        <f>'Project Collab - Inputs 4'!I19</f>
        <v>0</v>
      </c>
      <c r="I25" s="384">
        <f>'Project Collab - Inputs 4'!J19</f>
        <v>0</v>
      </c>
    </row>
    <row r="26" spans="1:11" x14ac:dyDescent="0.25">
      <c r="A26" s="382" t="str">
        <f>'Project Collab - Inputs 4'!$A20</f>
        <v>Agency staff cost during project</v>
      </c>
      <c r="B26" s="383">
        <f>'Project Collab - Inputs 4'!C20</f>
        <v>650000</v>
      </c>
      <c r="C26" s="384">
        <f>'Project Collab - Inputs 4'!D20</f>
        <v>325000</v>
      </c>
      <c r="D26" s="384">
        <f>'Project Collab - Inputs 4'!E20</f>
        <v>325000</v>
      </c>
      <c r="E26" s="384">
        <f>'Project Collab - Inputs 4'!F20</f>
        <v>0</v>
      </c>
      <c r="F26" s="384">
        <f>'Project Collab - Inputs 4'!G20</f>
        <v>0</v>
      </c>
      <c r="G26" s="384">
        <f>'Project Collab - Inputs 4'!H20</f>
        <v>0</v>
      </c>
      <c r="H26" s="384">
        <f>'Project Collab - Inputs 4'!I20</f>
        <v>0</v>
      </c>
      <c r="I26" s="384">
        <f>'Project Collab - Inputs 4'!J20</f>
        <v>0</v>
      </c>
    </row>
    <row r="27" spans="1:11" x14ac:dyDescent="0.25">
      <c r="A27" s="382" t="str">
        <f>'Project Collab - Inputs 4'!$A21</f>
        <v>Agency staff cost to support system ongoing</v>
      </c>
      <c r="B27" s="383">
        <f>'Project Collab - Inputs 4'!C21</f>
        <v>189000</v>
      </c>
      <c r="C27" s="384">
        <f>'Project Collab - Inputs 4'!D21</f>
        <v>0</v>
      </c>
      <c r="D27" s="384">
        <f>'Project Collab - Inputs 4'!E21</f>
        <v>9000</v>
      </c>
      <c r="E27" s="384">
        <f>'Project Collab - Inputs 4'!F21</f>
        <v>36000</v>
      </c>
      <c r="F27" s="384">
        <f>'Project Collab - Inputs 4'!G21</f>
        <v>36000</v>
      </c>
      <c r="G27" s="384">
        <f>'Project Collab - Inputs 4'!H21</f>
        <v>36000</v>
      </c>
      <c r="H27" s="384">
        <f>'Project Collab - Inputs 4'!I21</f>
        <v>36000</v>
      </c>
      <c r="I27" s="384">
        <f>'Project Collab - Inputs 4'!J21</f>
        <v>36000</v>
      </c>
    </row>
    <row r="28" spans="1:11" x14ac:dyDescent="0.25">
      <c r="A28" s="382" t="str">
        <f>'Project Collab - Inputs 4'!$A22</f>
        <v>Systems integration services for upgrade</v>
      </c>
      <c r="B28" s="383">
        <f>'Project Collab - Inputs 4'!C22</f>
        <v>0</v>
      </c>
      <c r="C28" s="384">
        <f>'Project Collab - Inputs 4'!D22</f>
        <v>0</v>
      </c>
      <c r="D28" s="384">
        <f>'Project Collab - Inputs 4'!E22</f>
        <v>0</v>
      </c>
      <c r="E28" s="384">
        <f>'Project Collab - Inputs 4'!F22</f>
        <v>0</v>
      </c>
      <c r="F28" s="384">
        <f>'Project Collab - Inputs 4'!G22</f>
        <v>0</v>
      </c>
      <c r="G28" s="384">
        <f>'Project Collab - Inputs 4'!H22</f>
        <v>0</v>
      </c>
      <c r="H28" s="384">
        <f>'Project Collab - Inputs 4'!I22</f>
        <v>0</v>
      </c>
      <c r="I28" s="384">
        <f>'Project Collab - Inputs 4'!J22</f>
        <v>0</v>
      </c>
    </row>
    <row r="29" spans="1:11" x14ac:dyDescent="0.25">
      <c r="A29" s="394" t="s">
        <v>27</v>
      </c>
      <c r="B29" s="383">
        <f t="shared" ref="B29:I29" si="1">SUM(B18:B28)</f>
        <v>2866000</v>
      </c>
      <c r="C29" s="383">
        <f t="shared" si="1"/>
        <v>886000</v>
      </c>
      <c r="D29" s="383">
        <f t="shared" si="1"/>
        <v>1245000</v>
      </c>
      <c r="E29" s="383">
        <f t="shared" si="1"/>
        <v>147000</v>
      </c>
      <c r="F29" s="383">
        <f t="shared" si="1"/>
        <v>147000</v>
      </c>
      <c r="G29" s="383">
        <f t="shared" si="1"/>
        <v>147000</v>
      </c>
      <c r="H29" s="383">
        <f t="shared" si="1"/>
        <v>147000</v>
      </c>
      <c r="I29" s="383">
        <f t="shared" si="1"/>
        <v>147000</v>
      </c>
      <c r="K29" s="579"/>
    </row>
    <row r="30" spans="1:11" x14ac:dyDescent="0.25">
      <c r="A30" s="394" t="s">
        <v>205</v>
      </c>
      <c r="B30" s="385">
        <f>B15-B29</f>
        <v>6494000</v>
      </c>
      <c r="C30" s="383">
        <f t="shared" ref="C30:I30" si="2">C15 - C29</f>
        <v>-886000</v>
      </c>
      <c r="D30" s="383">
        <f t="shared" si="2"/>
        <v>-1245000</v>
      </c>
      <c r="E30" s="383">
        <f t="shared" si="2"/>
        <v>438000</v>
      </c>
      <c r="F30" s="383">
        <f t="shared" si="2"/>
        <v>1608000</v>
      </c>
      <c r="G30" s="383">
        <f t="shared" si="2"/>
        <v>2193000</v>
      </c>
      <c r="H30" s="383">
        <f t="shared" si="2"/>
        <v>2193000</v>
      </c>
      <c r="I30" s="383">
        <f t="shared" si="2"/>
        <v>2193000</v>
      </c>
      <c r="K30" s="579"/>
    </row>
    <row r="31" spans="1:11" s="133" customFormat="1" x14ac:dyDescent="0.25">
      <c r="A31" s="395" t="s">
        <v>206</v>
      </c>
      <c r="B31" s="580" t="s">
        <v>306</v>
      </c>
      <c r="C31" s="383">
        <f>C30</f>
        <v>-886000</v>
      </c>
      <c r="D31" s="383">
        <f>D30+C30</f>
        <v>-2131000</v>
      </c>
      <c r="E31" s="383">
        <f>E30+D31</f>
        <v>-1693000</v>
      </c>
      <c r="F31" s="383">
        <f>F30+E31</f>
        <v>-85000</v>
      </c>
      <c r="G31" s="383">
        <f>G30+F31</f>
        <v>2108000</v>
      </c>
      <c r="H31" s="383">
        <f>H30+G31</f>
        <v>4301000</v>
      </c>
      <c r="I31" s="383">
        <f>I30+H31</f>
        <v>6494000</v>
      </c>
    </row>
    <row r="32" spans="1:11" s="133" customFormat="1" ht="13.5" customHeight="1" x14ac:dyDescent="0.25">
      <c r="A32" s="215"/>
      <c r="B32" s="218"/>
      <c r="C32" s="261"/>
      <c r="D32" s="261"/>
      <c r="E32" s="261"/>
      <c r="F32" s="261"/>
      <c r="G32" s="261"/>
      <c r="H32" s="261"/>
      <c r="I32" s="261"/>
    </row>
    <row r="33" spans="1:9" s="133" customFormat="1" x14ac:dyDescent="0.25">
      <c r="A33" s="315" t="s">
        <v>42</v>
      </c>
      <c r="B33" s="426" t="str">
        <f>INDEX($C$42:$I$42,MATCH(TRUE, INDEX($C$31:$I$31 &gt;0,),0))</f>
        <v>Year 5</v>
      </c>
      <c r="C33" s="238"/>
      <c r="D33" s="215"/>
      <c r="E33" s="215"/>
      <c r="F33" s="215"/>
      <c r="G33" s="215"/>
      <c r="H33" s="215"/>
      <c r="I33" s="145"/>
    </row>
    <row r="34" spans="1:9" s="133" customFormat="1" x14ac:dyDescent="0.25">
      <c r="A34" s="316" t="s">
        <v>440</v>
      </c>
      <c r="B34" s="427" t="s">
        <v>101</v>
      </c>
      <c r="C34" s="238"/>
      <c r="D34" s="215"/>
      <c r="E34" s="215"/>
      <c r="F34" s="215"/>
      <c r="G34" s="215"/>
      <c r="H34" s="215"/>
      <c r="I34" s="145"/>
    </row>
    <row r="35" spans="1:9" s="133" customFormat="1" ht="16.5" customHeight="1" x14ac:dyDescent="0.25">
      <c r="A35" s="316" t="s">
        <v>439</v>
      </c>
      <c r="B35" s="427">
        <f>VLOOKUP(B34,B48:C54,2,FALSE)</f>
        <v>2.2658757850662945</v>
      </c>
      <c r="I35" s="145"/>
    </row>
    <row r="36" spans="1:9" s="133" customFormat="1" x14ac:dyDescent="0.25">
      <c r="A36" s="316" t="s">
        <v>75</v>
      </c>
      <c r="B36" s="428">
        <f>VLOOKUP(B34,$B$48:$E$54,4,FALSE)/VLOOKUP(B34,$B$48:$E$54,3,FALSE)</f>
        <v>409428.57142857142</v>
      </c>
      <c r="I36" s="145"/>
    </row>
    <row r="37" spans="1:9" s="133" customFormat="1" x14ac:dyDescent="0.25">
      <c r="A37" s="314" t="s">
        <v>207</v>
      </c>
      <c r="B37" s="428">
        <f>VLOOKUP(B34,$B$48:$F$54,5,FALSE)/VLOOKUP(B34,$B$48:$F$54,3,FALSE)</f>
        <v>927714.28571428568</v>
      </c>
      <c r="I37" s="145"/>
    </row>
    <row r="38" spans="1:9" s="133" customFormat="1" ht="11.25" customHeight="1" x14ac:dyDescent="0.25"/>
    <row r="41" spans="1:9" ht="15" hidden="1" customHeight="1" thickBot="1" x14ac:dyDescent="0.3">
      <c r="A41" s="221" t="s">
        <v>155</v>
      </c>
      <c r="B41" s="222"/>
      <c r="C41" s="222"/>
      <c r="D41" s="222"/>
      <c r="E41" s="222"/>
      <c r="F41" s="222"/>
      <c r="G41" s="222"/>
      <c r="H41" s="222"/>
      <c r="I41" s="223"/>
    </row>
    <row r="42" spans="1:9" ht="15" hidden="1" customHeight="1" x14ac:dyDescent="0.25">
      <c r="A42" s="584"/>
      <c r="B42" s="585"/>
      <c r="C42" s="586" t="s">
        <v>43</v>
      </c>
      <c r="D42" s="586" t="s">
        <v>44</v>
      </c>
      <c r="E42" s="586" t="s">
        <v>45</v>
      </c>
      <c r="F42" s="586" t="s">
        <v>46</v>
      </c>
      <c r="G42" s="586" t="s">
        <v>47</v>
      </c>
      <c r="H42" s="586" t="s">
        <v>48</v>
      </c>
      <c r="I42" s="587" t="s">
        <v>49</v>
      </c>
    </row>
    <row r="43" spans="1:9" hidden="1" x14ac:dyDescent="0.25">
      <c r="A43" s="224" t="s">
        <v>102</v>
      </c>
      <c r="B43" s="225"/>
      <c r="C43" s="226">
        <f>C29</f>
        <v>886000</v>
      </c>
      <c r="D43" s="226">
        <f t="shared" ref="D43:I43" si="3">D29+C43</f>
        <v>2131000</v>
      </c>
      <c r="E43" s="226">
        <f t="shared" si="3"/>
        <v>2278000</v>
      </c>
      <c r="F43" s="226">
        <f t="shared" si="3"/>
        <v>2425000</v>
      </c>
      <c r="G43" s="226">
        <f t="shared" si="3"/>
        <v>2572000</v>
      </c>
      <c r="H43" s="226">
        <f t="shared" si="3"/>
        <v>2719000</v>
      </c>
      <c r="I43" s="227">
        <f t="shared" si="3"/>
        <v>2866000</v>
      </c>
    </row>
    <row r="44" spans="1:9" hidden="1" x14ac:dyDescent="0.25">
      <c r="A44" s="224" t="s">
        <v>162</v>
      </c>
      <c r="B44" s="225"/>
      <c r="C44" s="228">
        <f t="shared" ref="C44:I44" si="4">C31/C43</f>
        <v>-1</v>
      </c>
      <c r="D44" s="228">
        <f t="shared" si="4"/>
        <v>-1</v>
      </c>
      <c r="E44" s="228">
        <f t="shared" si="4"/>
        <v>-0.74319578577699741</v>
      </c>
      <c r="F44" s="228">
        <f t="shared" si="4"/>
        <v>-3.5051546391752578E-2</v>
      </c>
      <c r="G44" s="228">
        <f t="shared" si="4"/>
        <v>0.81959564541213059</v>
      </c>
      <c r="H44" s="228">
        <f t="shared" si="4"/>
        <v>1.5818315557190143</v>
      </c>
      <c r="I44" s="229">
        <f t="shared" si="4"/>
        <v>2.2658757850662945</v>
      </c>
    </row>
    <row r="45" spans="1:9" hidden="1" x14ac:dyDescent="0.25">
      <c r="A45" s="224"/>
      <c r="B45" s="225"/>
      <c r="C45" s="225"/>
      <c r="D45" s="225"/>
      <c r="E45" s="225"/>
      <c r="F45" s="225"/>
      <c r="G45" s="225"/>
      <c r="H45" s="225"/>
      <c r="I45" s="230"/>
    </row>
    <row r="46" spans="1:9" hidden="1" x14ac:dyDescent="0.25">
      <c r="A46" s="224"/>
      <c r="B46" s="225"/>
      <c r="C46" s="225"/>
      <c r="D46" s="225"/>
      <c r="E46" s="225"/>
      <c r="F46" s="225"/>
      <c r="G46" s="225"/>
      <c r="H46" s="225"/>
      <c r="I46" s="230"/>
    </row>
    <row r="47" spans="1:9" hidden="1" x14ac:dyDescent="0.25">
      <c r="A47" s="224"/>
      <c r="B47" s="183" t="s">
        <v>163</v>
      </c>
      <c r="C47" s="183" t="s">
        <v>162</v>
      </c>
      <c r="D47" s="183" t="s">
        <v>163</v>
      </c>
      <c r="E47" s="183" t="s">
        <v>102</v>
      </c>
      <c r="F47" s="183" t="s">
        <v>206</v>
      </c>
      <c r="G47" s="225"/>
      <c r="H47" s="225"/>
      <c r="I47" s="230"/>
    </row>
    <row r="48" spans="1:9" hidden="1" x14ac:dyDescent="0.25">
      <c r="A48" s="224"/>
      <c r="B48" s="186" t="s">
        <v>95</v>
      </c>
      <c r="C48" s="185">
        <f>C44</f>
        <v>-1</v>
      </c>
      <c r="D48" s="183">
        <v>1</v>
      </c>
      <c r="E48" s="184">
        <f>C43</f>
        <v>886000</v>
      </c>
      <c r="F48" s="184">
        <f>C31</f>
        <v>-886000</v>
      </c>
      <c r="G48" s="225"/>
      <c r="H48" s="225"/>
      <c r="I48" s="230"/>
    </row>
    <row r="49" spans="1:9" hidden="1" x14ac:dyDescent="0.25">
      <c r="A49" s="224"/>
      <c r="B49" s="186" t="s">
        <v>96</v>
      </c>
      <c r="C49" s="185">
        <f>D44</f>
        <v>-1</v>
      </c>
      <c r="D49" s="183">
        <v>2</v>
      </c>
      <c r="E49" s="184">
        <f>D43</f>
        <v>2131000</v>
      </c>
      <c r="F49" s="184">
        <f>D31</f>
        <v>-2131000</v>
      </c>
      <c r="G49" s="225"/>
      <c r="H49" s="225"/>
      <c r="I49" s="230"/>
    </row>
    <row r="50" spans="1:9" hidden="1" x14ac:dyDescent="0.25">
      <c r="A50" s="224"/>
      <c r="B50" s="186" t="s">
        <v>97</v>
      </c>
      <c r="C50" s="187">
        <f>E44</f>
        <v>-0.74319578577699741</v>
      </c>
      <c r="D50" s="183">
        <v>3</v>
      </c>
      <c r="E50" s="184">
        <f>E43</f>
        <v>2278000</v>
      </c>
      <c r="F50" s="184">
        <f>E31</f>
        <v>-1693000</v>
      </c>
      <c r="G50" s="225"/>
      <c r="H50" s="225"/>
      <c r="I50" s="230"/>
    </row>
    <row r="51" spans="1:9" hidden="1" x14ac:dyDescent="0.25">
      <c r="A51" s="224"/>
      <c r="B51" s="186" t="s">
        <v>98</v>
      </c>
      <c r="C51" s="187">
        <f>F44</f>
        <v>-3.5051546391752578E-2</v>
      </c>
      <c r="D51" s="183">
        <v>4</v>
      </c>
      <c r="E51" s="184">
        <f>F43</f>
        <v>2425000</v>
      </c>
      <c r="F51" s="184">
        <f>F31</f>
        <v>-85000</v>
      </c>
      <c r="G51" s="225"/>
      <c r="H51" s="225"/>
      <c r="I51" s="230"/>
    </row>
    <row r="52" spans="1:9" hidden="1" x14ac:dyDescent="0.25">
      <c r="A52" s="224"/>
      <c r="B52" s="186" t="s">
        <v>99</v>
      </c>
      <c r="C52" s="187">
        <f>G44</f>
        <v>0.81959564541213059</v>
      </c>
      <c r="D52" s="183">
        <v>5</v>
      </c>
      <c r="E52" s="184">
        <f>G43</f>
        <v>2572000</v>
      </c>
      <c r="F52" s="184">
        <f>G31</f>
        <v>2108000</v>
      </c>
      <c r="G52" s="225"/>
      <c r="H52" s="225"/>
      <c r="I52" s="230"/>
    </row>
    <row r="53" spans="1:9" hidden="1" x14ac:dyDescent="0.25">
      <c r="A53" s="224"/>
      <c r="B53" s="186" t="s">
        <v>100</v>
      </c>
      <c r="C53" s="187">
        <f>H44</f>
        <v>1.5818315557190143</v>
      </c>
      <c r="D53" s="183">
        <v>6</v>
      </c>
      <c r="E53" s="184">
        <f>H43</f>
        <v>2719000</v>
      </c>
      <c r="F53" s="184">
        <f>H31</f>
        <v>4301000</v>
      </c>
      <c r="G53" s="225"/>
      <c r="H53" s="225"/>
      <c r="I53" s="230"/>
    </row>
    <row r="54" spans="1:9" ht="16.5" hidden="1" thickBot="1" x14ac:dyDescent="0.3">
      <c r="A54" s="231"/>
      <c r="B54" s="232" t="s">
        <v>101</v>
      </c>
      <c r="C54" s="233">
        <f>I44</f>
        <v>2.2658757850662945</v>
      </c>
      <c r="D54" s="234">
        <v>7</v>
      </c>
      <c r="E54" s="235">
        <f>I43</f>
        <v>2866000</v>
      </c>
      <c r="F54" s="235">
        <f>I31</f>
        <v>6494000</v>
      </c>
      <c r="G54" s="236"/>
      <c r="H54" s="236"/>
      <c r="I54" s="237"/>
    </row>
  </sheetData>
  <sheetProtection insertRows="0" selectLockedCells="1"/>
  <mergeCells count="4">
    <mergeCell ref="A4:I4"/>
    <mergeCell ref="A8:I8"/>
    <mergeCell ref="A9:I9"/>
    <mergeCell ref="A6:I6"/>
  </mergeCells>
  <dataValidations count="1">
    <dataValidation type="list" allowBlank="1" showInputMessage="1" showErrorMessage="1" sqref="B34">
      <formula1>$B$48:$B$54</formula1>
    </dataValidation>
  </dataValidations>
  <pageMargins left="0.7" right="0.7" top="0.75" bottom="0.75" header="0.3" footer="0.3"/>
  <pageSetup paperSize="17" orientation="landscape" verticalDpi="0" r:id="rId1"/>
  <tableParts count="2">
    <tablePart r:id="rId2"/>
    <tablePart r:id="rId3"/>
  </tablePart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A1:V80"/>
  <sheetViews>
    <sheetView zoomScale="70" zoomScaleNormal="70" workbookViewId="0">
      <selection activeCell="A39" sqref="A39"/>
    </sheetView>
  </sheetViews>
  <sheetFormatPr defaultColWidth="9.140625" defaultRowHeight="15" x14ac:dyDescent="0.25"/>
  <cols>
    <col min="1" max="1" width="175.85546875" style="21" customWidth="1"/>
    <col min="2" max="16384" width="9.140625" style="23"/>
  </cols>
  <sheetData>
    <row r="1" spans="1:22" ht="21" x14ac:dyDescent="0.35">
      <c r="A1" s="555" t="s">
        <v>300</v>
      </c>
      <c r="B1" s="52"/>
      <c r="C1" s="52"/>
      <c r="D1" s="52"/>
      <c r="E1" s="52"/>
      <c r="F1" s="52"/>
      <c r="G1" s="52"/>
      <c r="H1" s="52"/>
      <c r="I1" s="52"/>
      <c r="J1" s="52"/>
      <c r="K1" s="52"/>
      <c r="L1" s="52"/>
      <c r="M1" s="52"/>
      <c r="N1" s="52"/>
      <c r="O1" s="52"/>
      <c r="P1" s="52"/>
      <c r="Q1" s="21"/>
      <c r="R1" s="21"/>
      <c r="S1" s="21"/>
    </row>
    <row r="2" spans="1:22" ht="18.75" x14ac:dyDescent="0.3">
      <c r="A2" s="520" t="s">
        <v>305</v>
      </c>
      <c r="B2" s="52"/>
      <c r="C2" s="52"/>
      <c r="D2" s="52"/>
      <c r="E2" s="52"/>
      <c r="F2" s="52"/>
      <c r="G2" s="52"/>
      <c r="H2" s="52"/>
      <c r="I2" s="52"/>
      <c r="J2" s="52"/>
      <c r="K2" s="52"/>
      <c r="L2" s="52"/>
      <c r="M2" s="52"/>
      <c r="N2" s="52"/>
      <c r="O2" s="52"/>
      <c r="P2" s="52"/>
      <c r="Q2" s="21"/>
      <c r="R2" s="21"/>
      <c r="S2" s="21"/>
    </row>
    <row r="3" spans="1:22" ht="16.5" thickBot="1" x14ac:dyDescent="0.3">
      <c r="A3" s="193"/>
      <c r="B3" s="74"/>
      <c r="C3" s="74"/>
      <c r="D3" s="74"/>
      <c r="E3" s="74"/>
      <c r="F3" s="74"/>
      <c r="G3" s="74"/>
      <c r="H3" s="74"/>
      <c r="I3" s="74"/>
      <c r="J3" s="74"/>
      <c r="K3" s="74"/>
      <c r="L3" s="74"/>
      <c r="M3" s="74"/>
      <c r="N3" s="74"/>
      <c r="O3" s="74"/>
      <c r="P3" s="74"/>
      <c r="Q3" s="21"/>
      <c r="R3" s="21"/>
      <c r="S3" s="21"/>
    </row>
    <row r="4" spans="1:22" ht="49.5" thickTop="1" thickBot="1" x14ac:dyDescent="0.35">
      <c r="A4" s="287" t="s">
        <v>403</v>
      </c>
      <c r="B4" s="26"/>
      <c r="C4" s="26"/>
      <c r="D4" s="26"/>
      <c r="E4" s="26"/>
      <c r="F4" s="26"/>
      <c r="G4" s="26"/>
      <c r="H4" s="26"/>
      <c r="I4" s="26"/>
      <c r="J4" s="26"/>
      <c r="K4" s="26"/>
      <c r="L4" s="26"/>
      <c r="M4" s="26"/>
      <c r="N4" s="26"/>
      <c r="O4" s="26"/>
      <c r="P4" s="26"/>
      <c r="Q4" s="26"/>
      <c r="R4" s="26"/>
      <c r="S4" s="26"/>
      <c r="T4" s="26"/>
      <c r="U4" s="26"/>
      <c r="V4" s="26"/>
    </row>
    <row r="5" spans="1:22" ht="15.75" thickTop="1" x14ac:dyDescent="0.25">
      <c r="A5" s="45"/>
      <c r="B5" s="40"/>
      <c r="C5" s="38"/>
      <c r="D5" s="38"/>
      <c r="E5" s="38"/>
      <c r="F5" s="38"/>
      <c r="G5" s="38"/>
      <c r="H5" s="38"/>
      <c r="I5" s="38"/>
      <c r="J5" s="38"/>
      <c r="K5" s="38"/>
      <c r="L5" s="38"/>
      <c r="M5" s="38"/>
      <c r="N5" s="38"/>
      <c r="O5" s="38"/>
      <c r="P5" s="38"/>
      <c r="Q5" s="38"/>
      <c r="R5" s="38"/>
      <c r="S5" s="38"/>
      <c r="T5" s="38"/>
      <c r="U5" s="38"/>
      <c r="V5" s="38"/>
    </row>
    <row r="6" spans="1:22" ht="15.75" x14ac:dyDescent="0.25">
      <c r="A6" s="567" t="s">
        <v>477</v>
      </c>
      <c r="B6" s="40"/>
      <c r="C6" s="40"/>
      <c r="D6" s="38"/>
      <c r="E6" s="38"/>
      <c r="F6" s="38"/>
      <c r="G6" s="38"/>
      <c r="H6" s="38"/>
      <c r="I6" s="38"/>
      <c r="J6" s="38"/>
      <c r="K6" s="38"/>
      <c r="L6" s="38"/>
      <c r="M6" s="38"/>
      <c r="N6" s="38"/>
      <c r="O6" s="38"/>
      <c r="P6" s="38"/>
      <c r="Q6" s="38"/>
      <c r="R6" s="38"/>
      <c r="S6" s="38"/>
      <c r="T6" s="38"/>
      <c r="U6" s="38"/>
      <c r="V6" s="38"/>
    </row>
    <row r="7" spans="1:22" x14ac:dyDescent="0.25">
      <c r="A7" s="45"/>
      <c r="B7" s="38"/>
      <c r="C7" s="40"/>
      <c r="D7" s="40"/>
      <c r="E7" s="40"/>
      <c r="F7" s="38"/>
      <c r="G7" s="38"/>
      <c r="H7" s="38"/>
      <c r="I7" s="38"/>
      <c r="J7" s="38"/>
      <c r="K7" s="38"/>
      <c r="L7" s="38"/>
      <c r="M7" s="38"/>
      <c r="N7" s="38"/>
      <c r="O7" s="38"/>
      <c r="P7" s="38"/>
      <c r="Q7" s="38"/>
      <c r="R7" s="38"/>
      <c r="S7" s="38"/>
      <c r="T7" s="38"/>
      <c r="U7" s="38"/>
      <c r="V7" s="38"/>
    </row>
    <row r="8" spans="1:22" x14ac:dyDescent="0.25">
      <c r="A8" s="45"/>
      <c r="B8" s="38"/>
      <c r="C8" s="38"/>
      <c r="D8" s="38"/>
      <c r="E8" s="40"/>
      <c r="F8" s="40"/>
      <c r="G8" s="38"/>
      <c r="H8" s="38"/>
      <c r="I8" s="38"/>
      <c r="J8" s="38"/>
      <c r="K8" s="38"/>
      <c r="L8" s="38"/>
      <c r="M8" s="38"/>
      <c r="N8" s="38"/>
      <c r="O8" s="38"/>
      <c r="P8" s="38"/>
      <c r="Q8" s="38"/>
      <c r="R8" s="38"/>
      <c r="S8" s="38"/>
      <c r="T8" s="38"/>
      <c r="U8" s="38"/>
      <c r="V8" s="38"/>
    </row>
    <row r="9" spans="1:22" x14ac:dyDescent="0.25">
      <c r="A9" s="45"/>
      <c r="B9" s="38"/>
      <c r="C9" s="38"/>
      <c r="D9" s="38"/>
      <c r="E9" s="38"/>
      <c r="F9" s="40"/>
      <c r="G9" s="40"/>
      <c r="H9" s="38"/>
      <c r="I9" s="38"/>
      <c r="J9" s="38"/>
      <c r="K9" s="38"/>
      <c r="L9" s="38"/>
      <c r="M9" s="38"/>
      <c r="N9" s="38"/>
      <c r="O9" s="38"/>
      <c r="P9" s="38"/>
      <c r="Q9" s="38"/>
      <c r="R9" s="38"/>
      <c r="S9" s="38"/>
      <c r="T9" s="38"/>
      <c r="U9" s="38"/>
      <c r="V9" s="38"/>
    </row>
    <row r="10" spans="1:22" x14ac:dyDescent="0.25">
      <c r="A10" s="45"/>
      <c r="B10" s="38"/>
      <c r="C10" s="38"/>
      <c r="D10" s="38"/>
      <c r="E10" s="38"/>
      <c r="F10" s="38"/>
      <c r="G10" s="38"/>
      <c r="H10" s="40"/>
      <c r="I10" s="38"/>
      <c r="J10" s="38"/>
      <c r="K10" s="38"/>
      <c r="L10" s="38"/>
      <c r="M10" s="38"/>
      <c r="N10" s="38"/>
      <c r="O10" s="38"/>
      <c r="P10" s="38"/>
      <c r="Q10" s="38"/>
      <c r="R10" s="38"/>
      <c r="S10" s="38"/>
      <c r="T10" s="38"/>
      <c r="U10" s="38"/>
      <c r="V10" s="38"/>
    </row>
    <row r="11" spans="1:22" x14ac:dyDescent="0.25">
      <c r="A11" s="45"/>
      <c r="B11" s="38"/>
      <c r="C11" s="38"/>
      <c r="D11" s="38"/>
      <c r="E11" s="38"/>
      <c r="F11" s="38"/>
      <c r="G11" s="38"/>
      <c r="H11" s="40"/>
      <c r="I11" s="40"/>
      <c r="J11" s="38"/>
      <c r="K11" s="38"/>
      <c r="L11" s="38"/>
      <c r="M11" s="38"/>
      <c r="N11" s="38"/>
      <c r="O11" s="38"/>
      <c r="P11" s="38"/>
      <c r="Q11" s="38"/>
      <c r="R11" s="38"/>
      <c r="S11" s="38"/>
      <c r="T11" s="38"/>
      <c r="U11" s="38"/>
      <c r="V11" s="38"/>
    </row>
    <row r="12" spans="1:22" x14ac:dyDescent="0.25">
      <c r="A12" s="44"/>
      <c r="B12" s="38"/>
      <c r="C12" s="38"/>
      <c r="D12" s="38"/>
      <c r="E12" s="38"/>
      <c r="F12" s="38"/>
      <c r="G12" s="38"/>
      <c r="H12" s="38"/>
      <c r="I12" s="38"/>
      <c r="J12" s="46"/>
      <c r="K12" s="46"/>
      <c r="L12" s="46"/>
      <c r="M12" s="46"/>
      <c r="N12" s="46"/>
      <c r="O12" s="46"/>
      <c r="P12" s="46"/>
      <c r="Q12" s="46"/>
      <c r="R12" s="46"/>
      <c r="S12" s="46"/>
      <c r="T12" s="46"/>
      <c r="U12" s="46"/>
      <c r="V12" s="46"/>
    </row>
    <row r="13" spans="1:22" x14ac:dyDescent="0.25">
      <c r="A13" s="45"/>
      <c r="B13" s="38"/>
      <c r="C13" s="38"/>
      <c r="D13" s="38"/>
      <c r="E13" s="38"/>
      <c r="F13" s="38"/>
      <c r="G13" s="38"/>
      <c r="H13" s="38"/>
      <c r="I13" s="38"/>
      <c r="J13" s="40"/>
      <c r="K13" s="38"/>
      <c r="L13" s="38"/>
      <c r="M13" s="38"/>
      <c r="N13" s="38"/>
      <c r="O13" s="38"/>
      <c r="P13" s="38"/>
      <c r="Q13" s="38"/>
      <c r="R13" s="38"/>
      <c r="S13" s="38"/>
      <c r="T13" s="38"/>
      <c r="U13" s="38"/>
      <c r="V13" s="38"/>
    </row>
    <row r="14" spans="1:22" x14ac:dyDescent="0.25">
      <c r="A14" s="45"/>
      <c r="B14" s="38"/>
      <c r="C14" s="38"/>
      <c r="D14" s="38"/>
      <c r="E14" s="38"/>
      <c r="F14" s="38"/>
      <c r="G14" s="38"/>
      <c r="H14" s="38"/>
      <c r="I14" s="38"/>
      <c r="J14" s="40"/>
      <c r="K14" s="38"/>
      <c r="L14" s="38"/>
      <c r="M14" s="38"/>
      <c r="N14" s="38"/>
      <c r="O14" s="38"/>
      <c r="P14" s="38"/>
      <c r="Q14" s="38"/>
      <c r="R14" s="38"/>
      <c r="S14" s="38"/>
      <c r="T14" s="38"/>
      <c r="U14" s="38"/>
      <c r="V14" s="38"/>
    </row>
    <row r="15" spans="1:22" x14ac:dyDescent="0.25">
      <c r="A15" s="45"/>
      <c r="B15" s="38"/>
      <c r="C15" s="38"/>
      <c r="D15" s="38"/>
      <c r="E15" s="38"/>
      <c r="F15" s="38"/>
      <c r="G15" s="38"/>
      <c r="H15" s="38"/>
      <c r="I15" s="38"/>
      <c r="J15" s="40"/>
      <c r="K15" s="40"/>
      <c r="L15" s="38"/>
      <c r="M15" s="38"/>
      <c r="N15" s="38"/>
      <c r="O15" s="38"/>
      <c r="P15" s="38"/>
      <c r="Q15" s="38"/>
      <c r="R15" s="38"/>
      <c r="S15" s="38"/>
      <c r="T15" s="38"/>
      <c r="U15" s="38"/>
      <c r="V15" s="38"/>
    </row>
    <row r="16" spans="1:22" x14ac:dyDescent="0.25">
      <c r="A16" s="45"/>
      <c r="B16" s="38"/>
      <c r="C16" s="38"/>
      <c r="D16" s="38"/>
      <c r="E16" s="38"/>
      <c r="F16" s="38"/>
      <c r="G16" s="38"/>
      <c r="H16" s="38"/>
      <c r="I16" s="38"/>
      <c r="J16" s="38"/>
      <c r="K16" s="38"/>
      <c r="L16" s="40"/>
      <c r="M16" s="38"/>
      <c r="N16" s="38"/>
      <c r="O16" s="38"/>
      <c r="P16" s="38"/>
      <c r="Q16" s="38"/>
      <c r="R16" s="38"/>
      <c r="S16" s="38"/>
      <c r="T16" s="38"/>
      <c r="U16" s="38"/>
      <c r="V16" s="38"/>
    </row>
    <row r="17" spans="1:22" x14ac:dyDescent="0.25">
      <c r="A17" s="45"/>
      <c r="B17" s="38"/>
      <c r="C17" s="38"/>
      <c r="D17" s="38"/>
      <c r="E17" s="38"/>
      <c r="F17" s="38"/>
      <c r="G17" s="38"/>
      <c r="H17" s="38"/>
      <c r="I17" s="38"/>
      <c r="J17" s="38"/>
      <c r="K17" s="38"/>
      <c r="L17" s="38"/>
      <c r="M17" s="40"/>
      <c r="N17" s="38"/>
      <c r="O17" s="38"/>
      <c r="P17" s="38"/>
      <c r="Q17" s="38"/>
      <c r="R17" s="38"/>
      <c r="S17" s="38"/>
      <c r="T17" s="38"/>
      <c r="U17" s="38"/>
      <c r="V17" s="38"/>
    </row>
    <row r="18" spans="1:22" x14ac:dyDescent="0.25">
      <c r="A18" s="45"/>
      <c r="B18" s="38"/>
      <c r="C18" s="38"/>
      <c r="D18" s="38"/>
      <c r="E18" s="38"/>
      <c r="F18" s="38"/>
      <c r="G18" s="38"/>
      <c r="H18" s="38"/>
      <c r="I18" s="38"/>
      <c r="J18" s="38"/>
      <c r="K18" s="38"/>
      <c r="L18" s="38"/>
      <c r="M18" s="38"/>
      <c r="N18" s="40"/>
      <c r="O18" s="38"/>
      <c r="P18" s="38"/>
      <c r="Q18" s="38"/>
      <c r="R18" s="38"/>
      <c r="S18" s="38"/>
      <c r="T18" s="38"/>
      <c r="U18" s="38"/>
      <c r="V18" s="38"/>
    </row>
    <row r="19" spans="1:22" x14ac:dyDescent="0.25">
      <c r="A19" s="45"/>
      <c r="B19" s="38"/>
      <c r="C19" s="38"/>
      <c r="D19" s="38"/>
      <c r="E19" s="38"/>
      <c r="F19" s="38"/>
      <c r="G19" s="38"/>
      <c r="H19" s="38"/>
      <c r="I19" s="38"/>
      <c r="J19" s="38"/>
      <c r="K19" s="38"/>
      <c r="L19" s="38"/>
      <c r="M19" s="38"/>
      <c r="N19" s="40"/>
      <c r="O19" s="40"/>
      <c r="P19" s="40"/>
      <c r="Q19" s="40"/>
      <c r="R19" s="38"/>
      <c r="S19" s="38"/>
      <c r="T19" s="38"/>
      <c r="U19" s="38"/>
      <c r="V19" s="38"/>
    </row>
    <row r="20" spans="1:22" x14ac:dyDescent="0.25">
      <c r="A20" s="45"/>
      <c r="B20" s="38"/>
      <c r="C20" s="38"/>
      <c r="D20" s="38"/>
      <c r="E20" s="38"/>
      <c r="F20" s="38"/>
      <c r="G20" s="38"/>
      <c r="H20" s="38"/>
      <c r="I20" s="38"/>
      <c r="J20" s="38"/>
      <c r="K20" s="38"/>
      <c r="L20" s="38"/>
      <c r="M20" s="38"/>
      <c r="N20" s="38"/>
      <c r="O20" s="38"/>
      <c r="P20" s="38"/>
      <c r="Q20" s="40"/>
      <c r="R20" s="38"/>
      <c r="S20" s="38"/>
      <c r="T20" s="38"/>
      <c r="U20" s="38"/>
      <c r="V20" s="38"/>
    </row>
    <row r="21" spans="1:22" x14ac:dyDescent="0.25">
      <c r="A21" s="45"/>
      <c r="B21" s="38"/>
      <c r="C21" s="38"/>
      <c r="D21" s="38"/>
      <c r="E21" s="38"/>
      <c r="F21" s="38"/>
      <c r="G21" s="38"/>
      <c r="H21" s="38"/>
      <c r="I21" s="38"/>
      <c r="J21" s="38"/>
      <c r="K21" s="38"/>
      <c r="L21" s="38"/>
      <c r="M21" s="38"/>
      <c r="N21" s="38"/>
      <c r="O21" s="38"/>
      <c r="P21" s="38"/>
      <c r="Q21" s="40"/>
      <c r="R21" s="40"/>
      <c r="S21" s="38"/>
      <c r="T21" s="38"/>
      <c r="U21" s="38"/>
      <c r="V21" s="38"/>
    </row>
    <row r="22" spans="1:22" x14ac:dyDescent="0.25">
      <c r="A22" s="45"/>
      <c r="B22" s="38"/>
      <c r="C22" s="38"/>
      <c r="D22" s="38"/>
      <c r="E22" s="38"/>
      <c r="F22" s="38"/>
      <c r="G22" s="38"/>
      <c r="H22" s="38"/>
      <c r="I22" s="38"/>
      <c r="J22" s="38"/>
      <c r="K22" s="38"/>
      <c r="L22" s="38"/>
      <c r="M22" s="38"/>
      <c r="N22" s="38"/>
      <c r="O22" s="38"/>
      <c r="P22" s="38"/>
      <c r="Q22" s="38"/>
      <c r="R22" s="38"/>
      <c r="S22" s="40"/>
      <c r="T22" s="38"/>
      <c r="U22" s="38"/>
      <c r="V22" s="38"/>
    </row>
    <row r="23" spans="1:22" x14ac:dyDescent="0.25">
      <c r="A23" s="45"/>
      <c r="B23" s="38"/>
      <c r="C23" s="38"/>
      <c r="D23" s="38"/>
      <c r="E23" s="38"/>
      <c r="F23" s="38"/>
      <c r="G23" s="38"/>
      <c r="H23" s="38"/>
      <c r="I23" s="38"/>
      <c r="J23" s="38"/>
      <c r="K23" s="38"/>
      <c r="L23" s="38"/>
      <c r="M23" s="38"/>
      <c r="N23" s="38"/>
      <c r="O23" s="38"/>
      <c r="P23" s="38"/>
      <c r="Q23" s="38"/>
      <c r="R23" s="38"/>
      <c r="S23" s="40"/>
      <c r="T23" s="38"/>
      <c r="U23" s="38"/>
      <c r="V23" s="38"/>
    </row>
    <row r="24" spans="1:22" x14ac:dyDescent="0.25">
      <c r="A24" s="45"/>
      <c r="B24" s="38"/>
      <c r="C24" s="38"/>
      <c r="D24" s="38"/>
      <c r="E24" s="38"/>
      <c r="F24" s="38"/>
      <c r="G24" s="38"/>
      <c r="H24" s="38"/>
      <c r="I24" s="38"/>
      <c r="J24" s="38"/>
      <c r="K24" s="38"/>
      <c r="L24" s="38"/>
      <c r="M24" s="38"/>
      <c r="N24" s="38"/>
      <c r="O24" s="38"/>
      <c r="P24" s="38"/>
      <c r="Q24" s="38"/>
      <c r="R24" s="38"/>
      <c r="S24" s="38"/>
      <c r="T24" s="40"/>
      <c r="U24" s="38"/>
      <c r="V24" s="38"/>
    </row>
    <row r="25" spans="1:22" x14ac:dyDescent="0.25">
      <c r="A25" s="45"/>
      <c r="B25" s="38"/>
      <c r="C25" s="38"/>
      <c r="D25" s="38"/>
      <c r="E25" s="38"/>
      <c r="F25" s="38"/>
      <c r="G25" s="38"/>
      <c r="H25" s="38"/>
      <c r="I25" s="38"/>
      <c r="J25" s="38"/>
      <c r="K25" s="38"/>
      <c r="L25" s="38"/>
      <c r="M25" s="38"/>
      <c r="N25" s="38"/>
      <c r="O25" s="38"/>
      <c r="P25" s="40"/>
      <c r="Q25" s="40"/>
      <c r="R25" s="40"/>
      <c r="S25" s="40"/>
      <c r="T25" s="38"/>
      <c r="U25" s="38"/>
      <c r="V25" s="38"/>
    </row>
    <row r="26" spans="1:22" x14ac:dyDescent="0.25">
      <c r="A26" s="45"/>
      <c r="B26" s="38"/>
      <c r="C26" s="38"/>
      <c r="D26" s="38"/>
      <c r="E26" s="38"/>
      <c r="F26" s="38"/>
      <c r="G26" s="38"/>
      <c r="H26" s="38"/>
      <c r="I26" s="38"/>
      <c r="J26" s="38"/>
      <c r="K26" s="38"/>
      <c r="L26" s="38"/>
      <c r="M26" s="38"/>
      <c r="N26" s="38"/>
      <c r="O26" s="38"/>
      <c r="P26" s="38"/>
      <c r="Q26" s="38"/>
      <c r="R26" s="40"/>
      <c r="S26" s="40"/>
      <c r="T26" s="40"/>
      <c r="U26" s="40"/>
      <c r="V26" s="38"/>
    </row>
    <row r="27" spans="1:22" x14ac:dyDescent="0.25">
      <c r="A27" s="45"/>
      <c r="B27" s="38"/>
      <c r="C27" s="38"/>
      <c r="D27" s="38"/>
      <c r="E27" s="38"/>
      <c r="F27" s="38"/>
      <c r="G27" s="38"/>
      <c r="H27" s="38"/>
      <c r="I27" s="38"/>
      <c r="J27" s="38"/>
      <c r="K27" s="38"/>
      <c r="L27" s="38"/>
      <c r="M27" s="38"/>
      <c r="N27" s="38"/>
      <c r="O27" s="38"/>
      <c r="P27" s="38"/>
      <c r="Q27" s="38"/>
      <c r="R27" s="38"/>
      <c r="S27" s="38"/>
      <c r="T27" s="38"/>
      <c r="U27" s="40"/>
      <c r="V27" s="40"/>
    </row>
    <row r="28" spans="1:22" x14ac:dyDescent="0.25">
      <c r="A28" s="45"/>
      <c r="B28" s="38"/>
      <c r="C28" s="38"/>
      <c r="D28" s="38"/>
      <c r="E28" s="38"/>
      <c r="F28" s="38"/>
      <c r="G28" s="38"/>
      <c r="H28" s="38"/>
      <c r="I28" s="38"/>
      <c r="J28" s="38"/>
      <c r="K28" s="38"/>
      <c r="L28" s="38"/>
      <c r="M28" s="38"/>
      <c r="N28" s="38"/>
      <c r="O28" s="38"/>
      <c r="P28" s="38"/>
      <c r="Q28" s="38"/>
      <c r="R28" s="38"/>
      <c r="S28" s="38"/>
      <c r="T28" s="38"/>
      <c r="U28" s="38"/>
      <c r="V28" s="40"/>
    </row>
    <row r="29" spans="1:22" x14ac:dyDescent="0.25">
      <c r="A29" s="44"/>
      <c r="B29" s="46"/>
      <c r="C29" s="46"/>
      <c r="D29" s="46"/>
      <c r="E29" s="46"/>
      <c r="F29" s="46"/>
      <c r="G29" s="46"/>
      <c r="H29" s="46"/>
      <c r="I29" s="46"/>
      <c r="J29" s="46"/>
      <c r="K29" s="46"/>
      <c r="L29" s="46"/>
      <c r="M29" s="46"/>
      <c r="N29" s="46"/>
      <c r="O29" s="46"/>
      <c r="P29" s="46"/>
      <c r="Q29" s="46"/>
      <c r="R29" s="46"/>
      <c r="S29" s="46"/>
      <c r="T29" s="46"/>
      <c r="U29" s="46"/>
      <c r="V29" s="46"/>
    </row>
    <row r="30" spans="1:22" x14ac:dyDescent="0.25">
      <c r="A30" s="44"/>
      <c r="B30" s="46"/>
      <c r="C30" s="46"/>
      <c r="D30" s="46"/>
      <c r="E30" s="46"/>
      <c r="F30" s="46"/>
      <c r="G30" s="46"/>
      <c r="H30" s="46"/>
      <c r="I30" s="46"/>
      <c r="J30" s="46"/>
      <c r="K30" s="46"/>
      <c r="L30" s="46"/>
      <c r="M30" s="46"/>
      <c r="N30" s="46"/>
      <c r="O30" s="46"/>
      <c r="P30" s="46"/>
      <c r="Q30" s="46"/>
      <c r="R30" s="46"/>
      <c r="S30" s="46"/>
      <c r="T30" s="46"/>
      <c r="U30" s="46"/>
      <c r="V30" s="46"/>
    </row>
    <row r="31" spans="1:22" x14ac:dyDescent="0.25">
      <c r="A31" s="22"/>
      <c r="B31" s="22"/>
      <c r="C31" s="22"/>
      <c r="D31" s="22"/>
      <c r="E31" s="22"/>
      <c r="F31" s="22"/>
      <c r="G31" s="22"/>
      <c r="H31" s="22"/>
      <c r="I31" s="22"/>
      <c r="J31" s="22"/>
      <c r="K31" s="22"/>
      <c r="L31" s="22"/>
      <c r="M31" s="22"/>
      <c r="N31" s="22"/>
      <c r="O31" s="22"/>
      <c r="P31" s="22"/>
      <c r="Q31" s="22"/>
      <c r="R31" s="22"/>
      <c r="S31" s="22"/>
      <c r="T31" s="22"/>
      <c r="U31" s="22"/>
      <c r="V31" s="22"/>
    </row>
    <row r="32" spans="1:22" x14ac:dyDescent="0.25">
      <c r="A32" s="30"/>
      <c r="B32" s="22"/>
      <c r="C32" s="22"/>
      <c r="D32" s="22"/>
      <c r="E32" s="22"/>
      <c r="F32" s="22"/>
      <c r="G32" s="22"/>
      <c r="H32" s="22"/>
      <c r="I32" s="22"/>
      <c r="J32" s="22"/>
      <c r="K32" s="22"/>
      <c r="L32" s="22"/>
      <c r="M32" s="22"/>
      <c r="N32" s="22"/>
      <c r="O32" s="22"/>
      <c r="P32" s="22"/>
      <c r="Q32" s="22"/>
      <c r="R32" s="22"/>
      <c r="S32" s="22"/>
      <c r="T32" s="22"/>
      <c r="U32" s="22"/>
      <c r="V32" s="22"/>
    </row>
    <row r="33" spans="1:22" x14ac:dyDescent="0.25">
      <c r="A33" s="22"/>
      <c r="B33" s="47"/>
      <c r="C33" s="22"/>
      <c r="D33" s="22"/>
      <c r="E33" s="22"/>
      <c r="F33" s="22"/>
      <c r="G33" s="22"/>
      <c r="H33" s="22"/>
      <c r="I33" s="22"/>
      <c r="J33" s="22"/>
      <c r="K33" s="22"/>
      <c r="L33" s="22"/>
      <c r="M33" s="22"/>
      <c r="N33" s="22"/>
      <c r="O33" s="22"/>
      <c r="P33" s="22"/>
      <c r="Q33" s="22"/>
      <c r="R33" s="22"/>
      <c r="S33" s="22"/>
      <c r="T33" s="22"/>
      <c r="U33" s="22"/>
      <c r="V33" s="22"/>
    </row>
    <row r="34" spans="1:22" x14ac:dyDescent="0.25">
      <c r="A34" s="22"/>
      <c r="B34" s="47"/>
      <c r="C34" s="22"/>
      <c r="D34" s="22"/>
      <c r="E34" s="22"/>
      <c r="F34" s="22"/>
      <c r="G34" s="22"/>
      <c r="H34" s="22"/>
      <c r="I34" s="22"/>
      <c r="J34" s="22"/>
      <c r="K34" s="22"/>
      <c r="L34" s="22"/>
      <c r="M34" s="22"/>
      <c r="N34" s="22"/>
      <c r="O34" s="22"/>
      <c r="P34" s="22"/>
      <c r="Q34" s="22"/>
      <c r="R34" s="22"/>
      <c r="S34" s="22"/>
      <c r="T34" s="22"/>
      <c r="U34" s="22"/>
      <c r="V34" s="22"/>
    </row>
    <row r="35" spans="1:22" x14ac:dyDescent="0.25">
      <c r="A35" s="29"/>
      <c r="B35" s="47"/>
      <c r="C35" s="22"/>
      <c r="D35" s="22"/>
      <c r="E35" s="22"/>
      <c r="F35" s="22"/>
      <c r="G35" s="22"/>
      <c r="H35" s="22"/>
      <c r="I35" s="22"/>
      <c r="J35" s="22"/>
      <c r="K35" s="22"/>
      <c r="L35" s="22"/>
      <c r="M35" s="22"/>
      <c r="N35" s="22"/>
      <c r="O35" s="22"/>
      <c r="P35" s="22"/>
      <c r="Q35" s="22"/>
      <c r="R35" s="22"/>
      <c r="S35" s="22"/>
      <c r="T35" s="22"/>
      <c r="U35" s="22"/>
      <c r="V35" s="22"/>
    </row>
    <row r="36" spans="1:22" x14ac:dyDescent="0.25">
      <c r="A36" s="22"/>
      <c r="B36" s="47"/>
      <c r="C36" s="22"/>
      <c r="D36" s="22"/>
      <c r="E36" s="22"/>
      <c r="F36" s="22"/>
      <c r="G36" s="22"/>
      <c r="H36" s="22"/>
      <c r="I36" s="22"/>
      <c r="J36" s="22"/>
      <c r="K36" s="22"/>
      <c r="L36" s="22"/>
      <c r="M36" s="22"/>
      <c r="N36" s="22"/>
      <c r="O36" s="22"/>
      <c r="P36" s="22"/>
      <c r="Q36" s="22"/>
      <c r="R36" s="22"/>
      <c r="S36" s="22"/>
      <c r="T36" s="22"/>
      <c r="U36" s="22"/>
      <c r="V36" s="22"/>
    </row>
    <row r="37" spans="1:22" x14ac:dyDescent="0.25">
      <c r="A37" s="22"/>
      <c r="B37" s="22"/>
      <c r="C37" s="22"/>
      <c r="D37" s="22"/>
      <c r="E37" s="22"/>
      <c r="F37" s="22"/>
      <c r="G37" s="22"/>
      <c r="H37" s="22"/>
      <c r="I37" s="22"/>
      <c r="J37" s="22"/>
      <c r="K37" s="22"/>
      <c r="L37" s="22"/>
      <c r="M37" s="22"/>
      <c r="N37" s="22"/>
      <c r="O37" s="22"/>
      <c r="P37" s="22"/>
      <c r="Q37" s="22"/>
      <c r="R37" s="22"/>
      <c r="S37" s="22"/>
      <c r="T37" s="22"/>
      <c r="U37" s="22"/>
      <c r="V37" s="22"/>
    </row>
    <row r="38" spans="1:22" x14ac:dyDescent="0.25">
      <c r="A38" s="22"/>
      <c r="B38" s="22"/>
      <c r="C38" s="22"/>
      <c r="D38" s="22"/>
      <c r="E38" s="22"/>
      <c r="F38" s="22"/>
      <c r="G38" s="22"/>
      <c r="H38" s="22"/>
      <c r="I38" s="22"/>
      <c r="J38" s="22"/>
      <c r="K38" s="22"/>
      <c r="L38" s="22"/>
      <c r="M38" s="22"/>
      <c r="N38" s="22"/>
      <c r="O38" s="22"/>
      <c r="P38" s="22"/>
      <c r="Q38" s="22"/>
      <c r="R38" s="22"/>
      <c r="S38" s="22"/>
      <c r="T38" s="22"/>
      <c r="U38" s="22"/>
      <c r="V38" s="22"/>
    </row>
    <row r="39" spans="1:22" x14ac:dyDescent="0.25">
      <c r="A39" s="22"/>
      <c r="B39" s="22"/>
      <c r="C39" s="22"/>
      <c r="D39" s="22"/>
      <c r="E39" s="22"/>
      <c r="F39" s="22"/>
      <c r="G39" s="22"/>
      <c r="H39" s="22"/>
      <c r="I39" s="22"/>
      <c r="J39" s="22"/>
      <c r="K39" s="22"/>
      <c r="L39" s="22"/>
      <c r="M39" s="22"/>
      <c r="N39" s="22"/>
      <c r="O39" s="22"/>
      <c r="P39" s="22"/>
      <c r="Q39" s="22"/>
      <c r="R39" s="22"/>
      <c r="S39" s="22"/>
      <c r="T39" s="22"/>
      <c r="U39" s="22"/>
      <c r="V39" s="22"/>
    </row>
    <row r="40" spans="1:22" x14ac:dyDescent="0.25">
      <c r="A40" s="22"/>
      <c r="B40" s="22"/>
      <c r="C40" s="22"/>
      <c r="D40" s="22"/>
      <c r="E40" s="22"/>
      <c r="F40" s="22"/>
      <c r="G40" s="22"/>
      <c r="H40" s="22"/>
      <c r="I40" s="22"/>
      <c r="J40" s="22"/>
      <c r="K40" s="22"/>
      <c r="L40" s="22"/>
      <c r="M40" s="22"/>
      <c r="N40" s="22"/>
      <c r="O40" s="22"/>
      <c r="P40" s="22"/>
      <c r="Q40" s="22"/>
      <c r="R40" s="22"/>
      <c r="S40" s="22"/>
      <c r="T40" s="22"/>
      <c r="U40" s="22"/>
      <c r="V40" s="22"/>
    </row>
    <row r="41" spans="1:22" x14ac:dyDescent="0.25">
      <c r="A41" s="22"/>
      <c r="B41" s="22"/>
      <c r="C41" s="22"/>
      <c r="D41" s="22"/>
      <c r="E41" s="22"/>
      <c r="F41" s="22"/>
      <c r="G41" s="22"/>
      <c r="H41" s="22"/>
      <c r="I41" s="22"/>
      <c r="J41" s="22"/>
      <c r="K41" s="22"/>
      <c r="L41" s="22"/>
      <c r="M41" s="22"/>
      <c r="N41" s="22"/>
      <c r="O41" s="22"/>
      <c r="P41" s="22"/>
      <c r="Q41" s="22"/>
      <c r="R41" s="22"/>
      <c r="S41" s="22"/>
      <c r="T41" s="22"/>
      <c r="U41" s="22"/>
      <c r="V41" s="22"/>
    </row>
    <row r="42" spans="1:22" x14ac:dyDescent="0.25">
      <c r="A42" s="22"/>
      <c r="B42" s="22"/>
      <c r="C42" s="22"/>
      <c r="D42" s="22"/>
      <c r="E42" s="22"/>
      <c r="F42" s="22"/>
      <c r="G42" s="22"/>
      <c r="H42" s="22"/>
      <c r="I42" s="22"/>
      <c r="J42" s="22"/>
      <c r="K42" s="22"/>
      <c r="L42" s="22"/>
      <c r="M42" s="22"/>
      <c r="N42" s="22"/>
      <c r="O42" s="22"/>
      <c r="P42" s="22"/>
      <c r="Q42" s="22"/>
      <c r="R42" s="22"/>
      <c r="S42" s="22"/>
      <c r="T42" s="22"/>
      <c r="U42" s="22"/>
      <c r="V42" s="22"/>
    </row>
    <row r="43" spans="1:22" x14ac:dyDescent="0.25">
      <c r="A43" s="22"/>
      <c r="B43" s="22"/>
      <c r="C43" s="22"/>
      <c r="D43" s="22"/>
      <c r="E43" s="22"/>
      <c r="F43" s="22"/>
      <c r="G43" s="22"/>
      <c r="H43" s="22"/>
      <c r="I43" s="22"/>
      <c r="J43" s="22"/>
      <c r="K43" s="22"/>
      <c r="L43" s="22"/>
      <c r="M43" s="22"/>
      <c r="N43" s="22"/>
      <c r="O43" s="22"/>
      <c r="P43" s="22"/>
      <c r="Q43" s="22"/>
      <c r="R43" s="22"/>
      <c r="S43" s="22"/>
      <c r="T43" s="22"/>
      <c r="U43" s="22"/>
      <c r="V43" s="22"/>
    </row>
    <row r="44" spans="1:22" x14ac:dyDescent="0.25">
      <c r="A44" s="22"/>
      <c r="B44" s="22"/>
      <c r="C44" s="22"/>
      <c r="D44" s="22"/>
      <c r="E44" s="22"/>
      <c r="F44" s="22"/>
      <c r="G44" s="22"/>
      <c r="H44" s="22"/>
      <c r="I44" s="22"/>
      <c r="J44" s="22"/>
      <c r="K44" s="22"/>
      <c r="L44" s="22"/>
      <c r="M44" s="22"/>
      <c r="N44" s="22"/>
      <c r="O44" s="22"/>
      <c r="P44" s="22"/>
      <c r="Q44" s="22"/>
      <c r="R44" s="22"/>
      <c r="S44" s="22"/>
      <c r="T44" s="22"/>
      <c r="U44" s="22"/>
      <c r="V44" s="22"/>
    </row>
    <row r="45" spans="1:22" x14ac:dyDescent="0.25">
      <c r="A45" s="22"/>
      <c r="B45" s="22"/>
      <c r="C45" s="22"/>
      <c r="D45" s="22"/>
      <c r="E45" s="22"/>
      <c r="F45" s="22"/>
      <c r="G45" s="22"/>
      <c r="H45" s="22"/>
      <c r="I45" s="22"/>
      <c r="J45" s="22"/>
      <c r="K45" s="22"/>
      <c r="L45" s="22"/>
      <c r="M45" s="22"/>
      <c r="N45" s="22"/>
      <c r="O45" s="22"/>
      <c r="P45" s="22"/>
      <c r="Q45" s="22"/>
      <c r="R45" s="22"/>
      <c r="S45" s="22"/>
      <c r="T45" s="22"/>
      <c r="U45" s="22"/>
      <c r="V45" s="22"/>
    </row>
    <row r="46" spans="1:22" x14ac:dyDescent="0.25">
      <c r="A46" s="22"/>
      <c r="B46" s="22"/>
      <c r="C46" s="22"/>
      <c r="D46" s="22"/>
      <c r="E46" s="22"/>
      <c r="F46" s="22"/>
      <c r="G46" s="22"/>
      <c r="H46" s="22"/>
      <c r="I46" s="22"/>
      <c r="J46" s="22"/>
      <c r="K46" s="22"/>
      <c r="L46" s="22"/>
      <c r="M46" s="22"/>
      <c r="N46" s="22"/>
      <c r="O46" s="22"/>
      <c r="P46" s="22"/>
      <c r="Q46" s="22"/>
      <c r="R46" s="22"/>
      <c r="S46" s="22"/>
      <c r="T46" s="22"/>
      <c r="U46" s="22"/>
      <c r="V46" s="22"/>
    </row>
    <row r="47" spans="1:22" x14ac:dyDescent="0.25">
      <c r="A47" s="22"/>
      <c r="B47" s="22"/>
      <c r="C47" s="22"/>
      <c r="D47" s="22"/>
      <c r="E47" s="22"/>
      <c r="F47" s="22"/>
      <c r="G47" s="22"/>
      <c r="H47" s="22"/>
      <c r="I47" s="22"/>
      <c r="J47" s="22"/>
      <c r="K47" s="22"/>
      <c r="L47" s="22"/>
      <c r="M47" s="22"/>
      <c r="N47" s="22"/>
      <c r="O47" s="22"/>
      <c r="P47" s="22"/>
      <c r="Q47" s="22"/>
      <c r="R47" s="22"/>
      <c r="S47" s="22"/>
      <c r="T47" s="22"/>
      <c r="U47" s="22"/>
      <c r="V47" s="22"/>
    </row>
    <row r="48" spans="1:22" x14ac:dyDescent="0.25">
      <c r="A48" s="22"/>
      <c r="B48" s="22"/>
      <c r="C48" s="22"/>
      <c r="D48" s="22"/>
      <c r="E48" s="22"/>
      <c r="F48" s="22"/>
      <c r="G48" s="22"/>
      <c r="H48" s="22"/>
      <c r="I48" s="22"/>
      <c r="J48" s="22"/>
      <c r="K48" s="22"/>
      <c r="L48" s="22"/>
      <c r="M48" s="22"/>
      <c r="N48" s="22"/>
      <c r="O48" s="22"/>
      <c r="P48" s="22"/>
      <c r="Q48" s="22"/>
      <c r="R48" s="22"/>
      <c r="S48" s="22"/>
      <c r="T48" s="22"/>
      <c r="U48" s="22"/>
      <c r="V48" s="22"/>
    </row>
    <row r="49" spans="1:22" x14ac:dyDescent="0.25">
      <c r="A49" s="22"/>
      <c r="B49" s="22"/>
      <c r="C49" s="22"/>
      <c r="D49" s="22"/>
      <c r="E49" s="22"/>
      <c r="F49" s="22"/>
      <c r="G49" s="22"/>
      <c r="H49" s="22"/>
      <c r="I49" s="22"/>
      <c r="J49" s="22"/>
      <c r="K49" s="22"/>
      <c r="L49" s="22"/>
      <c r="M49" s="22"/>
      <c r="N49" s="22"/>
      <c r="O49" s="22"/>
      <c r="P49" s="22"/>
      <c r="Q49" s="22"/>
      <c r="R49" s="22"/>
      <c r="S49" s="22"/>
      <c r="T49" s="22"/>
      <c r="U49" s="22"/>
      <c r="V49" s="22"/>
    </row>
    <row r="50" spans="1:22" x14ac:dyDescent="0.25">
      <c r="A50" s="22"/>
      <c r="B50" s="22"/>
      <c r="C50" s="22"/>
      <c r="D50" s="22"/>
      <c r="E50" s="22"/>
      <c r="F50" s="22"/>
      <c r="G50" s="22"/>
      <c r="H50" s="22"/>
      <c r="I50" s="22"/>
      <c r="J50" s="22"/>
      <c r="K50" s="22"/>
      <c r="L50" s="22"/>
      <c r="M50" s="22"/>
      <c r="N50" s="22"/>
      <c r="O50" s="22"/>
      <c r="P50" s="22"/>
      <c r="Q50" s="22"/>
      <c r="R50" s="22"/>
      <c r="S50" s="22"/>
      <c r="T50" s="22"/>
      <c r="U50" s="22"/>
      <c r="V50" s="22"/>
    </row>
    <row r="51" spans="1:22" x14ac:dyDescent="0.25">
      <c r="A51" s="22"/>
      <c r="B51" s="22"/>
      <c r="C51" s="22"/>
      <c r="D51" s="22"/>
      <c r="E51" s="22"/>
      <c r="F51" s="22"/>
      <c r="G51" s="22"/>
      <c r="H51" s="22"/>
      <c r="I51" s="22"/>
      <c r="J51" s="22"/>
      <c r="K51" s="22"/>
      <c r="L51" s="22"/>
      <c r="M51" s="22"/>
      <c r="N51" s="22"/>
      <c r="O51" s="22"/>
      <c r="P51" s="22"/>
      <c r="Q51" s="22"/>
      <c r="R51" s="22"/>
      <c r="S51" s="22"/>
      <c r="T51" s="22"/>
      <c r="U51" s="22"/>
      <c r="V51" s="22"/>
    </row>
    <row r="52" spans="1:22" x14ac:dyDescent="0.25">
      <c r="A52" s="22"/>
      <c r="B52" s="22"/>
      <c r="C52" s="22"/>
      <c r="D52" s="22"/>
      <c r="E52" s="22"/>
      <c r="F52" s="22"/>
      <c r="G52" s="22"/>
      <c r="H52" s="22"/>
      <c r="I52" s="22"/>
      <c r="J52" s="22"/>
      <c r="K52" s="22"/>
      <c r="L52" s="22"/>
      <c r="M52" s="22"/>
      <c r="N52" s="22"/>
      <c r="O52" s="22"/>
      <c r="P52" s="22"/>
      <c r="Q52" s="22"/>
      <c r="R52" s="22"/>
      <c r="S52" s="22"/>
      <c r="T52" s="22"/>
      <c r="U52" s="22"/>
      <c r="V52" s="22"/>
    </row>
    <row r="53" spans="1:22" x14ac:dyDescent="0.25">
      <c r="A53" s="22"/>
      <c r="B53" s="22"/>
      <c r="C53" s="22"/>
      <c r="D53" s="22"/>
      <c r="E53" s="22"/>
      <c r="F53" s="22"/>
      <c r="G53" s="22"/>
      <c r="H53" s="22"/>
      <c r="I53" s="22"/>
      <c r="J53" s="22"/>
      <c r="K53" s="22"/>
      <c r="L53" s="22"/>
      <c r="M53" s="22"/>
      <c r="N53" s="22"/>
      <c r="O53" s="22"/>
      <c r="P53" s="22"/>
      <c r="Q53" s="22"/>
      <c r="R53" s="22"/>
      <c r="S53" s="22"/>
      <c r="T53" s="22"/>
      <c r="U53" s="22"/>
      <c r="V53" s="22"/>
    </row>
    <row r="54" spans="1:22" x14ac:dyDescent="0.25">
      <c r="A54" s="22"/>
      <c r="B54" s="22"/>
      <c r="C54" s="22"/>
      <c r="D54" s="22"/>
      <c r="E54" s="22"/>
      <c r="F54" s="22"/>
      <c r="G54" s="22"/>
      <c r="H54" s="22"/>
      <c r="I54" s="22"/>
      <c r="J54" s="22"/>
      <c r="K54" s="22"/>
      <c r="L54" s="22"/>
      <c r="M54" s="22"/>
      <c r="N54" s="22"/>
      <c r="O54" s="22"/>
      <c r="P54" s="22"/>
      <c r="Q54" s="22"/>
      <c r="R54" s="22"/>
      <c r="S54" s="22"/>
      <c r="T54" s="22"/>
      <c r="U54" s="22"/>
      <c r="V54" s="22"/>
    </row>
    <row r="55" spans="1:22" x14ac:dyDescent="0.25">
      <c r="A55" s="22"/>
      <c r="B55" s="22"/>
      <c r="C55" s="22"/>
      <c r="D55" s="22"/>
      <c r="E55" s="22"/>
      <c r="F55" s="22"/>
      <c r="G55" s="22"/>
      <c r="H55" s="22"/>
      <c r="I55" s="22"/>
      <c r="J55" s="22"/>
      <c r="K55" s="22"/>
      <c r="L55" s="22"/>
      <c r="M55" s="22"/>
      <c r="N55" s="22"/>
      <c r="O55" s="22"/>
      <c r="P55" s="22"/>
      <c r="Q55" s="22"/>
      <c r="R55" s="22"/>
      <c r="S55" s="22"/>
      <c r="T55" s="22"/>
      <c r="U55" s="22"/>
      <c r="V55" s="22"/>
    </row>
    <row r="56" spans="1:22" x14ac:dyDescent="0.25">
      <c r="A56" s="22"/>
      <c r="B56" s="22"/>
      <c r="C56" s="22"/>
      <c r="D56" s="22"/>
      <c r="E56" s="22"/>
      <c r="F56" s="22"/>
      <c r="G56" s="22"/>
      <c r="H56" s="22"/>
      <c r="I56" s="22"/>
      <c r="J56" s="22"/>
      <c r="K56" s="22"/>
      <c r="L56" s="22"/>
      <c r="M56" s="22"/>
      <c r="N56" s="22"/>
      <c r="O56" s="22"/>
      <c r="P56" s="22"/>
      <c r="Q56" s="22"/>
      <c r="R56" s="22"/>
      <c r="S56" s="22"/>
      <c r="T56" s="22"/>
      <c r="U56" s="22"/>
      <c r="V56" s="22"/>
    </row>
    <row r="57" spans="1:22" x14ac:dyDescent="0.25">
      <c r="A57" s="22"/>
      <c r="B57" s="22"/>
      <c r="C57" s="22"/>
      <c r="D57" s="22"/>
      <c r="E57" s="22"/>
      <c r="F57" s="22"/>
      <c r="G57" s="22"/>
      <c r="H57" s="22"/>
      <c r="I57" s="22"/>
      <c r="J57" s="22"/>
      <c r="K57" s="22"/>
      <c r="L57" s="22"/>
      <c r="M57" s="22"/>
      <c r="N57" s="22"/>
      <c r="O57" s="22"/>
      <c r="P57" s="22"/>
      <c r="Q57" s="22"/>
      <c r="R57" s="22"/>
      <c r="S57" s="22"/>
      <c r="T57" s="22"/>
      <c r="U57" s="22"/>
      <c r="V57" s="22"/>
    </row>
    <row r="58" spans="1:22" x14ac:dyDescent="0.25">
      <c r="A58" s="22"/>
      <c r="B58" s="22"/>
      <c r="C58" s="22"/>
      <c r="D58" s="22"/>
      <c r="E58" s="22"/>
      <c r="F58" s="22"/>
      <c r="G58" s="22"/>
      <c r="H58" s="22"/>
      <c r="I58" s="22"/>
      <c r="J58" s="22"/>
      <c r="K58" s="22"/>
      <c r="L58" s="22"/>
      <c r="M58" s="22"/>
      <c r="N58" s="22"/>
      <c r="O58" s="22"/>
      <c r="P58" s="22"/>
      <c r="Q58" s="22"/>
      <c r="R58" s="22"/>
      <c r="S58" s="22"/>
      <c r="T58" s="22"/>
      <c r="U58" s="22"/>
      <c r="V58" s="22"/>
    </row>
    <row r="59" spans="1:22" x14ac:dyDescent="0.25">
      <c r="A59" s="22"/>
      <c r="B59" s="22"/>
      <c r="C59" s="22"/>
      <c r="D59" s="22"/>
      <c r="E59" s="22"/>
      <c r="F59" s="22"/>
      <c r="G59" s="22"/>
      <c r="H59" s="22"/>
      <c r="I59" s="22"/>
      <c r="J59" s="22"/>
      <c r="K59" s="22"/>
      <c r="L59" s="22"/>
      <c r="M59" s="22"/>
      <c r="N59" s="22"/>
      <c r="O59" s="22"/>
      <c r="P59" s="22"/>
      <c r="Q59" s="22"/>
      <c r="R59" s="22"/>
      <c r="S59" s="22"/>
      <c r="T59" s="22"/>
      <c r="U59" s="22"/>
      <c r="V59" s="22"/>
    </row>
    <row r="60" spans="1:22" x14ac:dyDescent="0.25">
      <c r="A60" s="22"/>
      <c r="B60" s="22"/>
      <c r="C60" s="22"/>
      <c r="D60" s="22"/>
      <c r="E60" s="22"/>
      <c r="F60" s="22"/>
      <c r="G60" s="22"/>
      <c r="H60" s="22"/>
      <c r="I60" s="22"/>
      <c r="J60" s="22"/>
      <c r="K60" s="22"/>
      <c r="L60" s="22"/>
      <c r="M60" s="22"/>
      <c r="N60" s="22"/>
      <c r="O60" s="22"/>
      <c r="P60" s="22"/>
      <c r="Q60" s="22"/>
      <c r="R60" s="22"/>
      <c r="S60" s="22"/>
      <c r="T60" s="22"/>
      <c r="U60" s="22"/>
      <c r="V60" s="22"/>
    </row>
    <row r="61" spans="1:22" x14ac:dyDescent="0.25">
      <c r="A61" s="22"/>
      <c r="B61" s="22"/>
      <c r="C61" s="22"/>
      <c r="D61" s="22"/>
      <c r="E61" s="22"/>
      <c r="F61" s="22"/>
      <c r="G61" s="22"/>
      <c r="H61" s="22"/>
      <c r="I61" s="22"/>
      <c r="J61" s="22"/>
      <c r="K61" s="22"/>
      <c r="L61" s="22"/>
      <c r="M61" s="22"/>
      <c r="N61" s="22"/>
      <c r="O61" s="22"/>
      <c r="P61" s="22"/>
      <c r="Q61" s="22"/>
      <c r="R61" s="22"/>
      <c r="S61" s="22"/>
      <c r="T61" s="22"/>
      <c r="U61" s="22"/>
      <c r="V61" s="22"/>
    </row>
    <row r="62" spans="1:22" x14ac:dyDescent="0.25">
      <c r="A62" s="22"/>
      <c r="B62" s="22"/>
      <c r="C62" s="22"/>
      <c r="D62" s="22"/>
      <c r="E62" s="22"/>
      <c r="F62" s="22"/>
      <c r="G62" s="22"/>
      <c r="H62" s="22"/>
      <c r="I62" s="22"/>
      <c r="J62" s="22"/>
      <c r="K62" s="22"/>
      <c r="L62" s="22"/>
      <c r="M62" s="22"/>
      <c r="N62" s="22"/>
      <c r="O62" s="22"/>
      <c r="P62" s="22"/>
      <c r="Q62" s="22"/>
      <c r="R62" s="22"/>
      <c r="S62" s="22"/>
      <c r="T62" s="22"/>
      <c r="U62" s="22"/>
      <c r="V62" s="22"/>
    </row>
    <row r="63" spans="1:22" x14ac:dyDescent="0.25">
      <c r="A63" s="22"/>
      <c r="B63" s="22"/>
      <c r="C63" s="22"/>
      <c r="D63" s="22"/>
      <c r="E63" s="22"/>
      <c r="F63" s="22"/>
      <c r="G63" s="22"/>
      <c r="H63" s="22"/>
      <c r="I63" s="22"/>
      <c r="J63" s="22"/>
      <c r="K63" s="22"/>
      <c r="L63" s="22"/>
      <c r="M63" s="22"/>
      <c r="N63" s="22"/>
      <c r="O63" s="22"/>
      <c r="P63" s="22"/>
      <c r="Q63" s="22"/>
      <c r="R63" s="22"/>
      <c r="S63" s="22"/>
      <c r="T63" s="22"/>
      <c r="U63" s="22"/>
      <c r="V63" s="22"/>
    </row>
    <row r="64" spans="1:22" x14ac:dyDescent="0.25">
      <c r="A64" s="22"/>
      <c r="B64" s="22"/>
      <c r="C64" s="22"/>
      <c r="D64" s="22"/>
      <c r="E64" s="22"/>
      <c r="F64" s="22"/>
      <c r="G64" s="22"/>
      <c r="H64" s="22"/>
      <c r="I64" s="22"/>
      <c r="J64" s="22"/>
      <c r="K64" s="22"/>
      <c r="L64" s="22"/>
      <c r="M64" s="22"/>
      <c r="N64" s="22"/>
      <c r="O64" s="22"/>
      <c r="P64" s="22"/>
      <c r="Q64" s="22"/>
      <c r="R64" s="22"/>
      <c r="S64" s="22"/>
      <c r="T64" s="22"/>
      <c r="U64" s="22"/>
      <c r="V64" s="22"/>
    </row>
    <row r="65" spans="1:22" x14ac:dyDescent="0.25">
      <c r="A65" s="22"/>
      <c r="B65" s="22"/>
      <c r="C65" s="22"/>
      <c r="D65" s="22"/>
      <c r="E65" s="22"/>
      <c r="F65" s="22"/>
      <c r="G65" s="22"/>
      <c r="H65" s="22"/>
      <c r="I65" s="22"/>
      <c r="J65" s="22"/>
      <c r="K65" s="22"/>
      <c r="L65" s="22"/>
      <c r="M65" s="22"/>
      <c r="N65" s="22"/>
      <c r="O65" s="22"/>
      <c r="P65" s="22"/>
      <c r="Q65" s="22"/>
      <c r="R65" s="22"/>
      <c r="S65" s="22"/>
      <c r="T65" s="22"/>
      <c r="U65" s="22"/>
      <c r="V65" s="22"/>
    </row>
    <row r="66" spans="1:22" x14ac:dyDescent="0.25">
      <c r="A66" s="22"/>
      <c r="B66" s="22"/>
      <c r="C66" s="22"/>
      <c r="D66" s="22"/>
      <c r="E66" s="22"/>
      <c r="F66" s="22"/>
      <c r="G66" s="22"/>
      <c r="H66" s="22"/>
      <c r="I66" s="22"/>
      <c r="J66" s="22"/>
      <c r="K66" s="22"/>
      <c r="L66" s="22"/>
      <c r="M66" s="22"/>
      <c r="N66" s="22"/>
      <c r="O66" s="22"/>
      <c r="P66" s="22"/>
      <c r="Q66" s="22"/>
      <c r="R66" s="22"/>
      <c r="S66" s="22"/>
      <c r="T66" s="22"/>
      <c r="U66" s="22"/>
      <c r="V66" s="22"/>
    </row>
    <row r="67" spans="1:22" x14ac:dyDescent="0.25">
      <c r="A67" s="22"/>
      <c r="B67" s="22"/>
      <c r="C67" s="22"/>
      <c r="D67" s="22"/>
      <c r="E67" s="22"/>
      <c r="F67" s="22"/>
      <c r="G67" s="22"/>
      <c r="H67" s="22"/>
      <c r="I67" s="22"/>
      <c r="J67" s="22"/>
      <c r="K67" s="22"/>
      <c r="L67" s="22"/>
      <c r="M67" s="22"/>
      <c r="N67" s="22"/>
      <c r="O67" s="22"/>
      <c r="P67" s="22"/>
      <c r="Q67" s="22"/>
      <c r="R67" s="22"/>
      <c r="S67" s="22"/>
      <c r="T67" s="22"/>
      <c r="U67" s="22"/>
      <c r="V67" s="22"/>
    </row>
    <row r="68" spans="1:22" x14ac:dyDescent="0.25">
      <c r="A68" s="22"/>
      <c r="B68" s="22"/>
      <c r="C68" s="22"/>
      <c r="D68" s="22"/>
      <c r="E68" s="22"/>
      <c r="F68" s="22"/>
      <c r="G68" s="22"/>
      <c r="H68" s="22"/>
      <c r="I68" s="22"/>
      <c r="J68" s="22"/>
      <c r="K68" s="22"/>
      <c r="L68" s="22"/>
      <c r="M68" s="22"/>
      <c r="N68" s="22"/>
      <c r="O68" s="22"/>
      <c r="P68" s="22"/>
      <c r="Q68" s="22"/>
      <c r="R68" s="22"/>
      <c r="S68" s="22"/>
      <c r="T68" s="22"/>
      <c r="U68" s="22"/>
      <c r="V68" s="22"/>
    </row>
    <row r="69" spans="1:22" x14ac:dyDescent="0.25">
      <c r="A69" s="22"/>
      <c r="B69" s="22"/>
      <c r="C69" s="22"/>
      <c r="D69" s="22"/>
      <c r="E69" s="22"/>
      <c r="F69" s="22"/>
      <c r="G69" s="22"/>
      <c r="H69" s="22"/>
      <c r="I69" s="22"/>
      <c r="J69" s="22"/>
      <c r="K69" s="22"/>
      <c r="L69" s="22"/>
      <c r="M69" s="22"/>
      <c r="N69" s="22"/>
      <c r="O69" s="22"/>
      <c r="P69" s="22"/>
      <c r="Q69" s="22"/>
      <c r="R69" s="22"/>
      <c r="S69" s="22"/>
      <c r="T69" s="22"/>
      <c r="U69" s="22"/>
      <c r="V69" s="22"/>
    </row>
    <row r="70" spans="1:22" x14ac:dyDescent="0.25">
      <c r="A70" s="22"/>
      <c r="B70" s="22"/>
      <c r="C70" s="22"/>
      <c r="D70" s="22"/>
      <c r="E70" s="22"/>
      <c r="F70" s="22"/>
      <c r="G70" s="22"/>
      <c r="H70" s="22"/>
      <c r="I70" s="22"/>
      <c r="J70" s="22"/>
      <c r="K70" s="22"/>
      <c r="L70" s="22"/>
      <c r="M70" s="22"/>
      <c r="N70" s="22"/>
      <c r="O70" s="22"/>
      <c r="P70" s="22"/>
      <c r="Q70" s="22"/>
      <c r="R70" s="22"/>
      <c r="S70" s="22"/>
      <c r="T70" s="22"/>
      <c r="U70" s="22"/>
      <c r="V70" s="22"/>
    </row>
    <row r="71" spans="1:22" x14ac:dyDescent="0.25">
      <c r="A71" s="22"/>
      <c r="B71" s="22"/>
      <c r="C71" s="22"/>
      <c r="D71" s="22"/>
      <c r="E71" s="22"/>
      <c r="F71" s="22"/>
      <c r="G71" s="22"/>
      <c r="H71" s="22"/>
      <c r="I71" s="22"/>
      <c r="J71" s="22"/>
      <c r="K71" s="22"/>
      <c r="L71" s="22"/>
      <c r="M71" s="22"/>
      <c r="N71" s="22"/>
      <c r="O71" s="22"/>
      <c r="P71" s="22"/>
      <c r="Q71" s="22"/>
      <c r="R71" s="22"/>
      <c r="S71" s="22"/>
      <c r="T71" s="22"/>
      <c r="U71" s="22"/>
      <c r="V71" s="22"/>
    </row>
    <row r="72" spans="1:22" x14ac:dyDescent="0.25">
      <c r="A72" s="22"/>
      <c r="B72" s="22"/>
      <c r="C72" s="22"/>
      <c r="D72" s="22"/>
      <c r="E72" s="22"/>
      <c r="F72" s="22"/>
      <c r="G72" s="22"/>
      <c r="H72" s="22"/>
      <c r="I72" s="22"/>
      <c r="J72" s="22"/>
      <c r="K72" s="22"/>
      <c r="L72" s="22"/>
      <c r="M72" s="22"/>
      <c r="N72" s="22"/>
      <c r="O72" s="22"/>
      <c r="P72" s="22"/>
      <c r="Q72" s="22"/>
      <c r="R72" s="22"/>
      <c r="S72" s="22"/>
      <c r="T72" s="22"/>
      <c r="U72" s="22"/>
      <c r="V72" s="22"/>
    </row>
    <row r="73" spans="1:22" x14ac:dyDescent="0.25">
      <c r="A73" s="22"/>
      <c r="B73" s="22"/>
      <c r="C73" s="22"/>
      <c r="D73" s="22"/>
      <c r="E73" s="22"/>
      <c r="F73" s="22"/>
      <c r="G73" s="22"/>
      <c r="H73" s="22"/>
      <c r="I73" s="22"/>
      <c r="J73" s="22"/>
      <c r="K73" s="22"/>
      <c r="L73" s="22"/>
      <c r="M73" s="22"/>
      <c r="N73" s="22"/>
      <c r="O73" s="22"/>
      <c r="P73" s="22"/>
      <c r="Q73" s="22"/>
      <c r="R73" s="22"/>
      <c r="S73" s="22"/>
      <c r="T73" s="22"/>
      <c r="U73" s="22"/>
      <c r="V73" s="22"/>
    </row>
    <row r="74" spans="1:22" x14ac:dyDescent="0.25">
      <c r="A74" s="22"/>
      <c r="B74" s="22"/>
      <c r="C74" s="22"/>
      <c r="D74" s="22"/>
      <c r="E74" s="22"/>
      <c r="F74" s="22"/>
      <c r="G74" s="22"/>
      <c r="H74" s="22"/>
      <c r="I74" s="22"/>
      <c r="J74" s="22"/>
      <c r="K74" s="22"/>
      <c r="L74" s="22"/>
      <c r="M74" s="22"/>
      <c r="N74" s="22"/>
      <c r="O74" s="22"/>
      <c r="P74" s="22"/>
      <c r="Q74" s="22"/>
      <c r="R74" s="22"/>
      <c r="S74" s="22"/>
      <c r="T74" s="22"/>
      <c r="U74" s="22"/>
      <c r="V74" s="22"/>
    </row>
    <row r="75" spans="1:22" x14ac:dyDescent="0.25">
      <c r="A75" s="22"/>
      <c r="B75" s="22"/>
      <c r="C75" s="22"/>
      <c r="D75" s="22"/>
      <c r="E75" s="22"/>
      <c r="F75" s="22"/>
      <c r="G75" s="22"/>
      <c r="H75" s="22"/>
      <c r="I75" s="22"/>
      <c r="J75" s="22"/>
      <c r="K75" s="22"/>
      <c r="L75" s="22"/>
      <c r="M75" s="22"/>
      <c r="N75" s="22"/>
      <c r="O75" s="22"/>
      <c r="P75" s="22"/>
      <c r="Q75" s="22"/>
      <c r="R75" s="22"/>
      <c r="S75" s="22"/>
      <c r="T75" s="22"/>
      <c r="U75" s="22"/>
      <c r="V75" s="22"/>
    </row>
    <row r="76" spans="1:22" x14ac:dyDescent="0.25">
      <c r="A76" s="22"/>
      <c r="B76" s="22"/>
      <c r="C76" s="22"/>
      <c r="D76" s="22"/>
      <c r="E76" s="22"/>
      <c r="F76" s="22"/>
      <c r="G76" s="22"/>
      <c r="H76" s="22"/>
      <c r="I76" s="22"/>
      <c r="J76" s="22"/>
      <c r="K76" s="22"/>
      <c r="L76" s="22"/>
      <c r="M76" s="22"/>
      <c r="N76" s="22"/>
      <c r="O76" s="22"/>
      <c r="P76" s="22"/>
      <c r="Q76" s="22"/>
      <c r="R76" s="22"/>
      <c r="S76" s="22"/>
      <c r="T76" s="22"/>
      <c r="U76" s="22"/>
      <c r="V76" s="22"/>
    </row>
    <row r="77" spans="1:22" x14ac:dyDescent="0.25">
      <c r="A77" s="22"/>
      <c r="B77" s="22"/>
      <c r="C77" s="22"/>
      <c r="D77" s="22"/>
      <c r="E77" s="22"/>
      <c r="F77" s="22"/>
      <c r="G77" s="22"/>
      <c r="H77" s="22"/>
      <c r="I77" s="22"/>
      <c r="J77" s="22"/>
      <c r="K77" s="22"/>
      <c r="L77" s="22"/>
      <c r="M77" s="22"/>
      <c r="N77" s="22"/>
      <c r="O77" s="22"/>
      <c r="P77" s="22"/>
      <c r="Q77" s="22"/>
      <c r="R77" s="22"/>
      <c r="S77" s="22"/>
      <c r="T77" s="22"/>
      <c r="U77" s="22"/>
      <c r="V77" s="22"/>
    </row>
    <row r="78" spans="1:22" x14ac:dyDescent="0.25">
      <c r="A78" s="22"/>
      <c r="B78" s="22"/>
      <c r="C78" s="22"/>
      <c r="D78" s="22"/>
      <c r="E78" s="22"/>
      <c r="F78" s="22"/>
      <c r="G78" s="22"/>
      <c r="H78" s="22"/>
      <c r="I78" s="22"/>
      <c r="J78" s="22"/>
      <c r="K78" s="22"/>
      <c r="L78" s="22"/>
      <c r="M78" s="22"/>
      <c r="N78" s="22"/>
      <c r="O78" s="22"/>
      <c r="P78" s="22"/>
      <c r="Q78" s="22"/>
      <c r="R78" s="22"/>
      <c r="S78" s="22"/>
      <c r="T78" s="22"/>
      <c r="U78" s="22"/>
      <c r="V78" s="22"/>
    </row>
    <row r="79" spans="1:22" x14ac:dyDescent="0.25">
      <c r="A79" s="22"/>
      <c r="B79" s="22"/>
      <c r="C79" s="22"/>
      <c r="D79" s="22"/>
      <c r="E79" s="22"/>
      <c r="F79" s="22"/>
      <c r="G79" s="22"/>
      <c r="H79" s="22"/>
      <c r="I79" s="22"/>
      <c r="J79" s="22"/>
      <c r="K79" s="22"/>
      <c r="L79" s="22"/>
      <c r="M79" s="22"/>
      <c r="N79" s="22"/>
      <c r="O79" s="22"/>
      <c r="P79" s="22"/>
      <c r="Q79" s="22"/>
      <c r="R79" s="22"/>
      <c r="S79" s="22"/>
      <c r="T79" s="22"/>
      <c r="U79" s="22"/>
      <c r="V79" s="22"/>
    </row>
    <row r="80" spans="1:22" x14ac:dyDescent="0.25">
      <c r="A80" s="22"/>
      <c r="B80" s="22"/>
      <c r="C80" s="22"/>
      <c r="D80" s="22"/>
      <c r="E80" s="22"/>
      <c r="F80" s="22"/>
      <c r="G80" s="22"/>
      <c r="H80" s="22"/>
      <c r="I80" s="22"/>
      <c r="J80" s="22"/>
      <c r="K80" s="22"/>
      <c r="L80" s="22"/>
      <c r="M80" s="22"/>
      <c r="N80" s="22"/>
      <c r="O80" s="22"/>
      <c r="P80" s="22"/>
      <c r="Q80" s="22"/>
      <c r="R80" s="22"/>
      <c r="S80" s="22"/>
      <c r="T80" s="22"/>
      <c r="U80" s="22"/>
      <c r="V80" s="22"/>
    </row>
  </sheetData>
  <sheetProtection formatCells="0" selectLockedCells="1"/>
  <pageMargins left="0.7" right="0.7" top="0.75" bottom="0.75" header="0.3" footer="0.3"/>
  <pageSetup paperSize="17" orientation="landscape"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H57"/>
  <sheetViews>
    <sheetView zoomScale="70" zoomScaleNormal="70" workbookViewId="0">
      <pane ySplit="11" topLeftCell="A12" activePane="bottomLeft" state="frozen"/>
      <selection pane="bottomLeft"/>
    </sheetView>
  </sheetViews>
  <sheetFormatPr defaultColWidth="9.140625" defaultRowHeight="15.75" x14ac:dyDescent="0.25"/>
  <cols>
    <col min="1" max="1" width="44" style="55" customWidth="1"/>
    <col min="2" max="2" width="15.85546875" style="55" customWidth="1"/>
    <col min="3" max="3" width="60.7109375" style="55" customWidth="1"/>
    <col min="4" max="4" width="48.85546875" style="55" customWidth="1"/>
    <col min="5" max="5" width="16.28515625" style="55" bestFit="1" customWidth="1"/>
    <col min="6" max="16384" width="9.140625" style="55"/>
  </cols>
  <sheetData>
    <row r="1" spans="1:8" ht="21" x14ac:dyDescent="0.35">
      <c r="A1" s="521" t="s">
        <v>300</v>
      </c>
      <c r="B1" s="120"/>
      <c r="C1" s="120"/>
      <c r="D1" s="120"/>
    </row>
    <row r="2" spans="1:8" ht="18" customHeight="1" x14ac:dyDescent="0.3">
      <c r="A2" s="520" t="s">
        <v>148</v>
      </c>
      <c r="B2" s="120"/>
      <c r="C2" s="120"/>
      <c r="D2" s="120"/>
    </row>
    <row r="3" spans="1:8" ht="16.5" thickBot="1" x14ac:dyDescent="0.3">
      <c r="A3" s="65"/>
      <c r="B3" s="61"/>
      <c r="C3" s="61"/>
      <c r="D3" s="61"/>
    </row>
    <row r="4" spans="1:8" ht="70.5" customHeight="1" thickTop="1" thickBot="1" x14ac:dyDescent="0.3">
      <c r="A4" s="656" t="s">
        <v>442</v>
      </c>
      <c r="B4" s="657"/>
      <c r="C4" s="657"/>
      <c r="D4" s="658"/>
    </row>
    <row r="5" spans="1:8" ht="16.5" thickTop="1" x14ac:dyDescent="0.25">
      <c r="A5" s="130"/>
      <c r="B5" s="130"/>
      <c r="C5" s="130"/>
      <c r="D5" s="130"/>
    </row>
    <row r="6" spans="1:8" ht="18.75" x14ac:dyDescent="0.3">
      <c r="A6" s="528" t="s">
        <v>272</v>
      </c>
      <c r="B6" s="328"/>
      <c r="C6" s="328"/>
      <c r="D6" s="329"/>
    </row>
    <row r="7" spans="1:8" ht="165" customHeight="1" x14ac:dyDescent="0.25">
      <c r="A7" s="653" t="s">
        <v>507</v>
      </c>
      <c r="B7" s="654"/>
      <c r="C7" s="654"/>
      <c r="D7" s="655"/>
    </row>
    <row r="8" spans="1:8" x14ac:dyDescent="0.25">
      <c r="A8" s="195"/>
      <c r="B8" s="195"/>
      <c r="C8" s="195"/>
      <c r="D8" s="195"/>
      <c r="E8" s="133"/>
      <c r="F8" s="133"/>
      <c r="G8" s="133"/>
      <c r="H8" s="133"/>
    </row>
    <row r="9" spans="1:8" x14ac:dyDescent="0.25">
      <c r="A9" s="547" t="s">
        <v>446</v>
      </c>
      <c r="B9" s="213"/>
      <c r="C9" s="147"/>
      <c r="D9" s="213"/>
      <c r="E9" s="133"/>
      <c r="F9" s="133"/>
      <c r="G9" s="133"/>
      <c r="H9" s="133"/>
    </row>
    <row r="10" spans="1:8" x14ac:dyDescent="0.25">
      <c r="A10" s="211"/>
      <c r="B10" s="212"/>
      <c r="C10" s="207"/>
      <c r="D10" s="212"/>
      <c r="E10" s="133"/>
      <c r="F10" s="133"/>
      <c r="G10" s="133"/>
      <c r="H10" s="133"/>
    </row>
    <row r="11" spans="1:8" x14ac:dyDescent="0.25">
      <c r="A11" s="348" t="s">
        <v>313</v>
      </c>
      <c r="B11" s="349" t="s">
        <v>271</v>
      </c>
      <c r="C11" s="350" t="s">
        <v>293</v>
      </c>
      <c r="D11" s="351" t="s">
        <v>310</v>
      </c>
      <c r="E11" s="133"/>
      <c r="F11" s="133"/>
      <c r="G11" s="133"/>
      <c r="H11" s="133"/>
    </row>
    <row r="12" spans="1:8" ht="47.25" x14ac:dyDescent="0.25">
      <c r="A12" s="404" t="s">
        <v>115</v>
      </c>
      <c r="B12" s="392">
        <v>800000000</v>
      </c>
      <c r="C12" s="407" t="s">
        <v>404</v>
      </c>
      <c r="D12" s="408" t="s">
        <v>306</v>
      </c>
      <c r="E12" s="263"/>
      <c r="F12" s="133"/>
      <c r="G12" s="133"/>
      <c r="H12" s="133"/>
    </row>
    <row r="13" spans="1:8" ht="21" customHeight="1" x14ac:dyDescent="0.25">
      <c r="A13" s="410" t="s">
        <v>120</v>
      </c>
      <c r="B13" s="425">
        <v>300</v>
      </c>
      <c r="C13" s="408" t="s">
        <v>306</v>
      </c>
      <c r="D13" s="408" t="s">
        <v>306</v>
      </c>
      <c r="E13" s="133"/>
      <c r="F13" s="133"/>
      <c r="G13" s="133"/>
      <c r="H13" s="133"/>
    </row>
    <row r="14" spans="1:8" ht="19.899999999999999" customHeight="1" x14ac:dyDescent="0.25">
      <c r="A14" s="404" t="s">
        <v>119</v>
      </c>
      <c r="B14" s="397">
        <v>50</v>
      </c>
      <c r="C14" s="408" t="s">
        <v>306</v>
      </c>
      <c r="D14" s="408" t="s">
        <v>306</v>
      </c>
      <c r="E14" s="133"/>
      <c r="F14" s="133"/>
      <c r="G14" s="133"/>
      <c r="H14" s="133"/>
    </row>
    <row r="15" spans="1:8" ht="31.5" x14ac:dyDescent="0.25">
      <c r="A15" s="404" t="s">
        <v>124</v>
      </c>
      <c r="B15" s="397">
        <v>10</v>
      </c>
      <c r="C15" s="408" t="s">
        <v>306</v>
      </c>
      <c r="D15" s="408" t="s">
        <v>306</v>
      </c>
      <c r="E15" s="133"/>
      <c r="F15" s="133"/>
      <c r="G15" s="133"/>
      <c r="H15" s="133"/>
    </row>
    <row r="16" spans="1:8" ht="31.5" x14ac:dyDescent="0.25">
      <c r="A16" s="404" t="s">
        <v>125</v>
      </c>
      <c r="B16" s="397">
        <v>8</v>
      </c>
      <c r="C16" s="408" t="s">
        <v>306</v>
      </c>
      <c r="D16" s="408" t="s">
        <v>306</v>
      </c>
      <c r="E16" s="133"/>
      <c r="F16" s="133"/>
      <c r="G16" s="133"/>
      <c r="H16" s="133"/>
    </row>
    <row r="17" spans="1:8" ht="31.5" x14ac:dyDescent="0.25">
      <c r="A17" s="412" t="s">
        <v>105</v>
      </c>
      <c r="B17" s="390">
        <v>65</v>
      </c>
      <c r="C17" s="407" t="s">
        <v>210</v>
      </c>
      <c r="D17" s="408" t="s">
        <v>306</v>
      </c>
      <c r="E17" s="133"/>
      <c r="F17" s="133"/>
      <c r="G17" s="133"/>
      <c r="H17" s="133"/>
    </row>
    <row r="18" spans="1:8" s="117" customFormat="1" x14ac:dyDescent="0.25">
      <c r="A18" s="171"/>
      <c r="B18" s="288"/>
      <c r="C18" s="289"/>
      <c r="D18" s="290"/>
      <c r="E18" s="133"/>
      <c r="F18" s="133"/>
      <c r="G18" s="133"/>
      <c r="H18" s="133"/>
    </row>
    <row r="24" spans="1:8" s="117" customFormat="1" x14ac:dyDescent="0.25">
      <c r="A24" s="58"/>
      <c r="B24" s="188"/>
      <c r="C24" s="189"/>
      <c r="D24" s="133"/>
    </row>
    <row r="38" customFormat="1" ht="15" x14ac:dyDescent="0.25"/>
    <row r="54" spans="1:4" x14ac:dyDescent="0.25">
      <c r="A54" s="145"/>
      <c r="B54" s="145"/>
      <c r="C54" s="145"/>
      <c r="D54" s="145"/>
    </row>
    <row r="55" spans="1:4" x14ac:dyDescent="0.25">
      <c r="A55" s="145"/>
      <c r="B55" s="145"/>
      <c r="C55" s="145"/>
      <c r="D55" s="145"/>
    </row>
    <row r="56" spans="1:4" x14ac:dyDescent="0.25">
      <c r="A56" s="145"/>
      <c r="B56" s="145"/>
      <c r="C56" s="145"/>
      <c r="D56" s="145"/>
    </row>
    <row r="57" spans="1:4" x14ac:dyDescent="0.25">
      <c r="A57" s="145"/>
      <c r="B57" s="145"/>
      <c r="C57" s="145"/>
      <c r="D57" s="145"/>
    </row>
  </sheetData>
  <sheetProtection insertColumns="0" insertRows="0" selectLockedCells="1"/>
  <mergeCells count="2">
    <mergeCell ref="A4:D4"/>
    <mergeCell ref="A7:D7"/>
  </mergeCells>
  <pageMargins left="0.7" right="0.7" top="0.75" bottom="0.75" header="0.3" footer="0.3"/>
  <pageSetup paperSize="17" fitToWidth="0" fitToHeight="0" orientation="landscape" verticalDpi="1200" r:id="rId1"/>
  <tableParts count="1">
    <tablePart r:id="rId2"/>
  </tablePart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Q13"/>
  <sheetViews>
    <sheetView zoomScale="70" zoomScaleNormal="70" workbookViewId="0">
      <pane ySplit="11" topLeftCell="A12" activePane="bottomLeft" state="frozen"/>
      <selection pane="bottomLeft"/>
    </sheetView>
  </sheetViews>
  <sheetFormatPr defaultRowHeight="15" x14ac:dyDescent="0.25"/>
  <cols>
    <col min="1" max="1" width="40.7109375" customWidth="1"/>
    <col min="2" max="2" width="43.28515625" customWidth="1"/>
    <col min="3" max="3" width="23" customWidth="1"/>
    <col min="4" max="10" width="21.7109375" customWidth="1"/>
  </cols>
  <sheetData>
    <row r="1" spans="1:17" ht="21" x14ac:dyDescent="0.35">
      <c r="A1" s="521" t="s">
        <v>300</v>
      </c>
      <c r="B1" s="120"/>
      <c r="C1" s="120"/>
      <c r="D1" s="120"/>
      <c r="E1" s="120"/>
      <c r="F1" s="120"/>
      <c r="G1" s="120"/>
      <c r="H1" s="120"/>
      <c r="I1" s="120"/>
      <c r="J1" s="120"/>
    </row>
    <row r="2" spans="1:17" ht="18.75" x14ac:dyDescent="0.3">
      <c r="A2" s="520" t="s">
        <v>148</v>
      </c>
      <c r="B2" s="120"/>
      <c r="C2" s="120"/>
      <c r="D2" s="120"/>
      <c r="E2" s="120"/>
      <c r="F2" s="120"/>
      <c r="G2" s="120"/>
      <c r="H2" s="120"/>
      <c r="I2" s="120"/>
      <c r="J2" s="120"/>
    </row>
    <row r="3" spans="1:17" ht="16.5" thickBot="1" x14ac:dyDescent="0.3">
      <c r="A3" s="65"/>
      <c r="B3" s="61"/>
      <c r="C3" s="61"/>
      <c r="D3" s="61"/>
      <c r="E3" s="61"/>
      <c r="F3" s="61"/>
      <c r="G3" s="61"/>
      <c r="H3" s="61"/>
      <c r="I3" s="61"/>
      <c r="J3" s="61"/>
    </row>
    <row r="4" spans="1:17" ht="60.6" customHeight="1" thickTop="1" thickBot="1" x14ac:dyDescent="0.3">
      <c r="A4" s="656" t="s">
        <v>442</v>
      </c>
      <c r="B4" s="657"/>
      <c r="C4" s="657"/>
      <c r="D4" s="657"/>
      <c r="E4" s="657"/>
      <c r="F4" s="657"/>
      <c r="G4" s="657"/>
      <c r="H4" s="657"/>
      <c r="I4" s="657"/>
      <c r="J4" s="658"/>
    </row>
    <row r="5" spans="1:17" ht="16.5" thickTop="1" x14ac:dyDescent="0.25">
      <c r="A5" s="130"/>
      <c r="B5" s="130"/>
      <c r="C5" s="130"/>
      <c r="D5" s="130"/>
      <c r="E5" s="130"/>
      <c r="F5" s="133"/>
      <c r="G5" s="133"/>
      <c r="H5" s="133"/>
      <c r="I5" s="133"/>
      <c r="J5" s="133"/>
    </row>
    <row r="6" spans="1:17" ht="18.75" x14ac:dyDescent="0.3">
      <c r="A6" s="528" t="s">
        <v>272</v>
      </c>
      <c r="B6" s="313"/>
      <c r="C6" s="313"/>
      <c r="D6" s="313"/>
      <c r="E6" s="313"/>
      <c r="F6" s="659"/>
      <c r="G6" s="659"/>
      <c r="H6" s="659"/>
      <c r="I6" s="659"/>
      <c r="J6" s="659"/>
    </row>
    <row r="7" spans="1:17" ht="115.5" customHeight="1" x14ac:dyDescent="0.25">
      <c r="A7" s="653" t="s">
        <v>508</v>
      </c>
      <c r="B7" s="654"/>
      <c r="C7" s="654"/>
      <c r="D7" s="654"/>
      <c r="E7" s="654"/>
      <c r="F7" s="654"/>
      <c r="G7" s="654"/>
      <c r="H7" s="654"/>
      <c r="I7" s="654"/>
      <c r="J7" s="655"/>
    </row>
    <row r="9" spans="1:17" s="117" customFormat="1" ht="15.75" x14ac:dyDescent="0.25">
      <c r="A9" s="548" t="s">
        <v>516</v>
      </c>
      <c r="B9" s="147"/>
      <c r="C9" s="147"/>
      <c r="D9" s="147"/>
      <c r="E9" s="147"/>
      <c r="F9" s="147"/>
      <c r="G9" s="147"/>
      <c r="H9" s="147"/>
      <c r="I9" s="147"/>
      <c r="J9" s="147"/>
      <c r="K9" s="57"/>
      <c r="L9" s="57"/>
      <c r="M9" s="57"/>
      <c r="N9" s="57"/>
      <c r="O9" s="57"/>
      <c r="P9" s="57"/>
      <c r="Q9" s="57"/>
    </row>
    <row r="10" spans="1:17" s="117" customFormat="1" ht="15.75" x14ac:dyDescent="0.25">
      <c r="A10" s="214"/>
      <c r="B10" s="147"/>
      <c r="C10" s="147"/>
      <c r="D10" s="147"/>
      <c r="E10" s="147"/>
      <c r="F10" s="147"/>
      <c r="G10" s="147"/>
      <c r="H10" s="147"/>
      <c r="I10" s="147"/>
      <c r="J10" s="147"/>
      <c r="K10" s="57"/>
      <c r="L10" s="57"/>
      <c r="M10" s="57"/>
      <c r="N10" s="57"/>
      <c r="O10" s="57"/>
      <c r="P10" s="57"/>
      <c r="Q10" s="57"/>
    </row>
    <row r="11" spans="1:17" s="55" customFormat="1" ht="31.5" x14ac:dyDescent="0.25">
      <c r="A11" s="357" t="s">
        <v>311</v>
      </c>
      <c r="B11" s="357" t="s">
        <v>312</v>
      </c>
      <c r="C11" s="367" t="s">
        <v>264</v>
      </c>
      <c r="D11" s="354" t="s">
        <v>315</v>
      </c>
      <c r="E11" s="346" t="s">
        <v>316</v>
      </c>
      <c r="F11" s="346" t="s">
        <v>317</v>
      </c>
      <c r="G11" s="346" t="s">
        <v>318</v>
      </c>
      <c r="H11" s="346" t="s">
        <v>319</v>
      </c>
      <c r="I11" s="346" t="s">
        <v>320</v>
      </c>
      <c r="J11" s="347" t="s">
        <v>321</v>
      </c>
      <c r="L11" s="61"/>
      <c r="M11" s="61"/>
      <c r="N11" s="61"/>
      <c r="O11" s="61"/>
    </row>
    <row r="12" spans="1:17" s="55" customFormat="1" ht="36.75" customHeight="1" x14ac:dyDescent="0.25">
      <c r="A12" s="404" t="s">
        <v>214</v>
      </c>
      <c r="B12" s="403" t="s">
        <v>405</v>
      </c>
      <c r="C12" s="401">
        <f>'Dig As-Builts - Inputs 1'!B13*'Dig As-Builts - Inputs 1'!B15*'Dig As-Builts - Inputs 1'!B17</f>
        <v>195000</v>
      </c>
      <c r="D12" s="398">
        <v>0</v>
      </c>
      <c r="E12" s="398">
        <v>0.5</v>
      </c>
      <c r="F12" s="398">
        <v>0.9</v>
      </c>
      <c r="G12" s="400">
        <v>1</v>
      </c>
      <c r="H12" s="400">
        <v>1</v>
      </c>
      <c r="I12" s="398">
        <v>1</v>
      </c>
      <c r="J12" s="398">
        <v>1</v>
      </c>
      <c r="K12" s="190"/>
      <c r="L12" s="190"/>
      <c r="M12" s="61"/>
      <c r="N12" s="61"/>
      <c r="O12" s="61"/>
    </row>
    <row r="13" spans="1:17" s="55" customFormat="1" ht="47.25" x14ac:dyDescent="0.25">
      <c r="A13" s="412" t="s">
        <v>441</v>
      </c>
      <c r="B13" s="403" t="s">
        <v>406</v>
      </c>
      <c r="C13" s="388">
        <f>'Dig As-Builts - Inputs 1'!B14*'Dig As-Builts - Inputs 1'!B16*'Dig As-Builts - Inputs 1'!B17</f>
        <v>26000</v>
      </c>
      <c r="D13" s="398">
        <v>0</v>
      </c>
      <c r="E13" s="398">
        <v>0.5</v>
      </c>
      <c r="F13" s="398">
        <v>0.9</v>
      </c>
      <c r="G13" s="400">
        <v>1</v>
      </c>
      <c r="H13" s="400">
        <v>1</v>
      </c>
      <c r="I13" s="398">
        <v>1</v>
      </c>
      <c r="J13" s="398">
        <v>1</v>
      </c>
      <c r="K13" s="190"/>
      <c r="L13" s="190"/>
      <c r="M13" s="20"/>
      <c r="N13" s="20"/>
      <c r="O13" s="20"/>
    </row>
  </sheetData>
  <mergeCells count="3">
    <mergeCell ref="A4:J4"/>
    <mergeCell ref="F6:J6"/>
    <mergeCell ref="A7:J7"/>
  </mergeCells>
  <pageMargins left="0.7" right="0.7" top="0.75" bottom="0.75" header="0.3" footer="0.3"/>
  <pageSetup paperSize="17" scale="75" orientation="landscape" verticalDpi="0" r:id="rId1"/>
  <tableParts count="1">
    <tablePart r:id="rId2"/>
  </tablePart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N18"/>
  <sheetViews>
    <sheetView zoomScale="70" zoomScaleNormal="70" workbookViewId="0">
      <pane ySplit="11" topLeftCell="A12" activePane="bottomLeft" state="frozen"/>
      <selection pane="bottomLeft"/>
    </sheetView>
  </sheetViews>
  <sheetFormatPr defaultRowHeight="15" x14ac:dyDescent="0.25"/>
  <cols>
    <col min="1" max="1" width="36.5703125" customWidth="1"/>
    <col min="2" max="2" width="28.85546875" customWidth="1"/>
    <col min="3" max="3" width="13.28515625" customWidth="1"/>
    <col min="4" max="4" width="20.7109375" customWidth="1"/>
    <col min="5" max="5" width="32.7109375" customWidth="1"/>
    <col min="6" max="6" width="40.28515625" customWidth="1"/>
  </cols>
  <sheetData>
    <row r="1" spans="1:14" ht="21" x14ac:dyDescent="0.35">
      <c r="A1" s="521" t="s">
        <v>300</v>
      </c>
      <c r="B1" s="120"/>
      <c r="C1" s="120"/>
      <c r="D1" s="120"/>
      <c r="E1" s="120"/>
      <c r="F1" s="120"/>
    </row>
    <row r="2" spans="1:14" ht="18.75" x14ac:dyDescent="0.3">
      <c r="A2" s="520" t="s">
        <v>148</v>
      </c>
      <c r="B2" s="120"/>
      <c r="C2" s="120"/>
      <c r="D2" s="120"/>
      <c r="E2" s="120"/>
      <c r="F2" s="120"/>
    </row>
    <row r="3" spans="1:14" ht="16.5" thickBot="1" x14ac:dyDescent="0.3">
      <c r="A3" s="65"/>
      <c r="B3" s="61"/>
      <c r="C3" s="61"/>
      <c r="D3" s="61"/>
      <c r="E3" s="61"/>
      <c r="F3" s="61"/>
    </row>
    <row r="4" spans="1:14" ht="74.45" customHeight="1" thickTop="1" thickBot="1" x14ac:dyDescent="0.3">
      <c r="A4" s="656" t="s">
        <v>442</v>
      </c>
      <c r="B4" s="657"/>
      <c r="C4" s="657"/>
      <c r="D4" s="657"/>
      <c r="E4" s="657"/>
      <c r="F4" s="658"/>
    </row>
    <row r="5" spans="1:14" ht="15.75" thickTop="1" x14ac:dyDescent="0.25"/>
    <row r="6" spans="1:14" s="117" customFormat="1" ht="18.75" x14ac:dyDescent="0.25">
      <c r="A6" s="534" t="s">
        <v>60</v>
      </c>
      <c r="B6" s="318"/>
      <c r="C6" s="318"/>
      <c r="D6" s="318"/>
      <c r="E6" s="318"/>
      <c r="F6" s="319"/>
    </row>
    <row r="7" spans="1:14" s="55" customFormat="1" ht="226.5" customHeight="1" x14ac:dyDescent="0.25">
      <c r="A7" s="653" t="s">
        <v>509</v>
      </c>
      <c r="B7" s="654"/>
      <c r="C7" s="654"/>
      <c r="D7" s="654"/>
      <c r="E7" s="654"/>
      <c r="F7" s="655"/>
    </row>
    <row r="8" spans="1:14" s="55" customFormat="1" ht="15.75" x14ac:dyDescent="0.25">
      <c r="A8" s="205"/>
      <c r="B8" s="205"/>
      <c r="C8" s="205"/>
      <c r="D8" s="205"/>
      <c r="E8" s="205"/>
      <c r="F8" s="205"/>
    </row>
    <row r="9" spans="1:14" s="55" customFormat="1" ht="15.75" x14ac:dyDescent="0.25">
      <c r="A9" s="549" t="s">
        <v>517</v>
      </c>
      <c r="B9" s="205"/>
      <c r="C9" s="205"/>
      <c r="D9" s="205"/>
      <c r="E9" s="205"/>
      <c r="F9" s="205"/>
    </row>
    <row r="10" spans="1:14" s="55" customFormat="1" ht="15.75" x14ac:dyDescent="0.25">
      <c r="A10" s="206"/>
      <c r="B10" s="206"/>
      <c r="C10" s="206"/>
      <c r="D10" s="206"/>
      <c r="E10" s="206"/>
      <c r="F10" s="206"/>
      <c r="J10" s="133"/>
      <c r="K10" s="133"/>
      <c r="L10" s="133"/>
      <c r="M10" s="133"/>
      <c r="N10" s="133"/>
    </row>
    <row r="11" spans="1:14" s="55" customFormat="1" ht="31.5" x14ac:dyDescent="0.25">
      <c r="A11" s="334" t="s">
        <v>295</v>
      </c>
      <c r="B11" s="335" t="s">
        <v>296</v>
      </c>
      <c r="C11" s="335" t="s">
        <v>297</v>
      </c>
      <c r="D11" s="335" t="s">
        <v>298</v>
      </c>
      <c r="E11" s="335" t="s">
        <v>299</v>
      </c>
      <c r="F11" s="336" t="s">
        <v>280</v>
      </c>
      <c r="J11" s="133"/>
      <c r="K11" s="133"/>
      <c r="L11" s="133"/>
      <c r="M11" s="133"/>
      <c r="N11" s="133"/>
    </row>
    <row r="12" spans="1:14" s="55" customFormat="1" ht="15.75" x14ac:dyDescent="0.25">
      <c r="A12" s="421" t="s">
        <v>306</v>
      </c>
      <c r="B12" s="410">
        <v>0</v>
      </c>
      <c r="C12" s="422">
        <v>0</v>
      </c>
      <c r="D12" s="423">
        <v>0</v>
      </c>
      <c r="E12" s="422">
        <v>0</v>
      </c>
      <c r="F12" s="424">
        <f>C12*D12*(1+E12)</f>
        <v>0</v>
      </c>
      <c r="G12" s="133"/>
      <c r="J12" s="153"/>
      <c r="K12" s="153"/>
      <c r="L12" s="153"/>
      <c r="M12" s="133"/>
      <c r="N12" s="133"/>
    </row>
    <row r="13" spans="1:14" s="55" customFormat="1" ht="15.75" x14ac:dyDescent="0.25">
      <c r="A13" s="421" t="s">
        <v>306</v>
      </c>
      <c r="B13" s="410">
        <v>0</v>
      </c>
      <c r="C13" s="422">
        <v>0</v>
      </c>
      <c r="D13" s="423">
        <v>0</v>
      </c>
      <c r="E13" s="422">
        <v>0</v>
      </c>
      <c r="F13" s="424">
        <f>C13*D13*(1+E13)</f>
        <v>0</v>
      </c>
      <c r="G13" s="133"/>
      <c r="J13" s="153"/>
      <c r="K13" s="291"/>
      <c r="L13" s="153"/>
      <c r="M13" s="133"/>
      <c r="N13" s="133"/>
    </row>
    <row r="14" spans="1:14" s="55" customFormat="1" ht="15.75" x14ac:dyDescent="0.25">
      <c r="A14" s="421" t="s">
        <v>306</v>
      </c>
      <c r="B14" s="410">
        <v>0</v>
      </c>
      <c r="C14" s="422">
        <v>0</v>
      </c>
      <c r="D14" s="423">
        <v>0</v>
      </c>
      <c r="E14" s="422">
        <v>0</v>
      </c>
      <c r="F14" s="424">
        <f>C14*D14*(1+E14)</f>
        <v>0</v>
      </c>
      <c r="G14" s="133"/>
      <c r="J14" s="153"/>
      <c r="K14" s="292"/>
      <c r="L14" s="153"/>
      <c r="M14" s="133"/>
      <c r="N14" s="133"/>
    </row>
    <row r="15" spans="1:14" s="55" customFormat="1" ht="15.75" x14ac:dyDescent="0.25">
      <c r="A15" s="421" t="s">
        <v>306</v>
      </c>
      <c r="B15" s="410">
        <v>0</v>
      </c>
      <c r="C15" s="422">
        <v>0</v>
      </c>
      <c r="D15" s="423">
        <v>0</v>
      </c>
      <c r="E15" s="422">
        <v>0</v>
      </c>
      <c r="F15" s="424">
        <f>C15*D15*(1+E15)</f>
        <v>0</v>
      </c>
      <c r="G15" s="133"/>
      <c r="J15" s="153"/>
      <c r="K15" s="153"/>
      <c r="L15" s="153"/>
      <c r="M15" s="133"/>
      <c r="N15" s="133"/>
    </row>
    <row r="16" spans="1:14" s="55" customFormat="1" ht="15.75" x14ac:dyDescent="0.25">
      <c r="A16" s="421" t="s">
        <v>306</v>
      </c>
      <c r="B16" s="410">
        <v>0</v>
      </c>
      <c r="C16" s="422">
        <v>0</v>
      </c>
      <c r="D16" s="423">
        <v>0</v>
      </c>
      <c r="E16" s="422">
        <v>0</v>
      </c>
      <c r="F16" s="424">
        <f>C16*D16*(1+E16)</f>
        <v>0</v>
      </c>
      <c r="G16" s="133"/>
      <c r="J16" s="153"/>
      <c r="K16" s="293"/>
      <c r="L16" s="153"/>
      <c r="M16" s="133"/>
      <c r="N16" s="133"/>
    </row>
    <row r="17" spans="1:14" s="55" customFormat="1" ht="15.75" x14ac:dyDescent="0.25">
      <c r="A17" s="421" t="s">
        <v>152</v>
      </c>
      <c r="B17" s="421" t="s">
        <v>306</v>
      </c>
      <c r="C17" s="421" t="s">
        <v>306</v>
      </c>
      <c r="D17" s="421" t="s">
        <v>306</v>
      </c>
      <c r="E17" s="421" t="s">
        <v>306</v>
      </c>
      <c r="F17" s="424">
        <f>SUM(F12:F15)</f>
        <v>0</v>
      </c>
      <c r="G17" s="133"/>
      <c r="J17" s="133"/>
      <c r="K17" s="133"/>
      <c r="L17" s="133"/>
      <c r="M17" s="133"/>
      <c r="N17" s="133"/>
    </row>
    <row r="18" spans="1:14" s="55" customFormat="1" ht="15.75" x14ac:dyDescent="0.25">
      <c r="A18" s="421" t="s">
        <v>153</v>
      </c>
      <c r="B18" s="421" t="s">
        <v>306</v>
      </c>
      <c r="C18" s="421" t="s">
        <v>306</v>
      </c>
      <c r="D18" s="421" t="s">
        <v>306</v>
      </c>
      <c r="E18" s="421" t="s">
        <v>306</v>
      </c>
      <c r="F18" s="424">
        <f>SUM(F16)</f>
        <v>0</v>
      </c>
      <c r="G18" s="133"/>
      <c r="J18" s="133"/>
      <c r="K18" s="133"/>
      <c r="L18" s="133"/>
      <c r="M18" s="133"/>
      <c r="N18" s="133"/>
    </row>
  </sheetData>
  <mergeCells count="2">
    <mergeCell ref="A4:F4"/>
    <mergeCell ref="A7:F7"/>
  </mergeCells>
  <pageMargins left="0.7" right="0.7" top="0.75" bottom="0.75" header="0.3" footer="0.3"/>
  <pageSetup paperSize="17" orientation="landscape" verticalDpi="0" r:id="rId1"/>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6"/>
  <sheetViews>
    <sheetView zoomScale="70" zoomScaleNormal="70" workbookViewId="0">
      <pane ySplit="8" topLeftCell="A13" activePane="bottomLeft" state="frozen"/>
      <selection pane="bottomLeft" activeCell="B27" sqref="B27"/>
    </sheetView>
  </sheetViews>
  <sheetFormatPr defaultColWidth="9.140625" defaultRowHeight="15.75" x14ac:dyDescent="0.25"/>
  <cols>
    <col min="1" max="1" width="42.140625" style="94" customWidth="1"/>
    <col min="2" max="2" width="180.140625" style="94" customWidth="1"/>
    <col min="3" max="3" width="170.28515625" style="94" customWidth="1"/>
    <col min="4" max="16384" width="9.140625" style="94"/>
  </cols>
  <sheetData>
    <row r="1" spans="1:3" s="93" customFormat="1" ht="21" x14ac:dyDescent="0.35">
      <c r="A1" s="519" t="s">
        <v>291</v>
      </c>
    </row>
    <row r="2" spans="1:3" s="93" customFormat="1" ht="18.75" x14ac:dyDescent="0.3">
      <c r="A2" s="518" t="s">
        <v>304</v>
      </c>
    </row>
    <row r="3" spans="1:3" ht="16.5" thickBot="1" x14ac:dyDescent="0.3"/>
    <row r="4" spans="1:3" ht="147" customHeight="1" thickTop="1" thickBot="1" x14ac:dyDescent="0.3">
      <c r="A4" s="617" t="s">
        <v>469</v>
      </c>
      <c r="B4" s="618"/>
    </row>
    <row r="5" spans="1:3" ht="18.75" customHeight="1" thickTop="1" x14ac:dyDescent="0.25"/>
    <row r="6" spans="1:3" x14ac:dyDescent="0.25">
      <c r="A6" s="558" t="s">
        <v>258</v>
      </c>
      <c r="B6" s="111"/>
      <c r="C6" s="106"/>
    </row>
    <row r="7" spans="1:3" x14ac:dyDescent="0.25">
      <c r="A7" s="110"/>
      <c r="B7" s="111"/>
      <c r="C7" s="106"/>
    </row>
    <row r="8" spans="1:3" ht="14.25" customHeight="1" x14ac:dyDescent="0.25">
      <c r="A8" s="563" t="s">
        <v>128</v>
      </c>
      <c r="B8" s="564" t="s">
        <v>127</v>
      </c>
      <c r="C8" s="112"/>
    </row>
    <row r="9" spans="1:3" ht="47.25" customHeight="1" x14ac:dyDescent="0.25">
      <c r="A9" s="113" t="s">
        <v>91</v>
      </c>
      <c r="B9" s="114" t="s">
        <v>129</v>
      </c>
      <c r="C9" s="115"/>
    </row>
    <row r="10" spans="1:3" ht="67.150000000000006" customHeight="1" x14ac:dyDescent="0.25">
      <c r="A10" s="113" t="s">
        <v>130</v>
      </c>
      <c r="B10" s="114" t="s">
        <v>131</v>
      </c>
      <c r="C10" s="115"/>
    </row>
    <row r="11" spans="1:3" ht="48" customHeight="1" x14ac:dyDescent="0.25">
      <c r="A11" s="113" t="s">
        <v>92</v>
      </c>
      <c r="B11" s="114" t="s">
        <v>132</v>
      </c>
      <c r="C11" s="115"/>
    </row>
    <row r="12" spans="1:3" ht="49.5" customHeight="1" x14ac:dyDescent="0.25">
      <c r="A12" s="113" t="s">
        <v>133</v>
      </c>
      <c r="B12" s="114" t="s">
        <v>134</v>
      </c>
      <c r="C12" s="115"/>
    </row>
    <row r="13" spans="1:3" ht="19.5" customHeight="1" x14ac:dyDescent="0.25">
      <c r="A13" s="113" t="s">
        <v>93</v>
      </c>
      <c r="B13" s="114" t="s">
        <v>135</v>
      </c>
      <c r="C13" s="115"/>
    </row>
    <row r="14" spans="1:3" ht="48" customHeight="1" x14ac:dyDescent="0.25">
      <c r="A14" s="113" t="s">
        <v>136</v>
      </c>
      <c r="B14" s="114" t="s">
        <v>137</v>
      </c>
      <c r="C14" s="115"/>
    </row>
    <row r="15" spans="1:3" ht="52.5" customHeight="1" x14ac:dyDescent="0.25">
      <c r="A15" s="113" t="s">
        <v>94</v>
      </c>
      <c r="B15" s="114" t="s">
        <v>138</v>
      </c>
      <c r="C15" s="115"/>
    </row>
    <row r="16" spans="1:3" ht="16.5" customHeight="1" x14ac:dyDescent="0.25">
      <c r="A16" s="113" t="s">
        <v>225</v>
      </c>
      <c r="B16" s="114" t="s">
        <v>243</v>
      </c>
      <c r="C16" s="115"/>
    </row>
  </sheetData>
  <mergeCells count="1">
    <mergeCell ref="A4:B4"/>
  </mergeCells>
  <pageMargins left="0.7" right="0.7" top="0.75" bottom="0.75" header="0.3" footer="0.3"/>
  <pageSetup paperSize="17" scale="85" orientation="landscape" verticalDpi="0" r:id="rId1"/>
  <tableParts count="1">
    <tablePart r:id="rId2"/>
  </tablePart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S23"/>
  <sheetViews>
    <sheetView zoomScale="70" zoomScaleNormal="70" workbookViewId="0">
      <pane ySplit="11" topLeftCell="A12" activePane="bottomLeft" state="frozen"/>
      <selection pane="bottomLeft"/>
    </sheetView>
  </sheetViews>
  <sheetFormatPr defaultRowHeight="15" x14ac:dyDescent="0.25"/>
  <cols>
    <col min="1" max="1" width="27.85546875" customWidth="1"/>
    <col min="2" max="2" width="55.5703125" bestFit="1" customWidth="1"/>
    <col min="3" max="3" width="17.5703125" customWidth="1"/>
    <col min="4" max="4" width="16.7109375" customWidth="1"/>
    <col min="5" max="7" width="17.140625" customWidth="1"/>
    <col min="8" max="8" width="16.7109375" customWidth="1"/>
    <col min="9" max="9" width="17.140625" customWidth="1"/>
    <col min="10" max="10" width="17.7109375" customWidth="1"/>
  </cols>
  <sheetData>
    <row r="1" spans="1:19" ht="21" x14ac:dyDescent="0.35">
      <c r="A1" s="521" t="s">
        <v>300</v>
      </c>
      <c r="B1" s="120"/>
      <c r="C1" s="120"/>
      <c r="D1" s="120"/>
      <c r="E1" s="120"/>
      <c r="F1" s="120"/>
      <c r="G1" s="120"/>
      <c r="H1" s="120"/>
      <c r="I1" s="120"/>
      <c r="J1" s="120"/>
    </row>
    <row r="2" spans="1:19" ht="18.75" x14ac:dyDescent="0.3">
      <c r="A2" s="520" t="s">
        <v>148</v>
      </c>
      <c r="B2" s="120"/>
      <c r="C2" s="120"/>
      <c r="D2" s="120"/>
      <c r="E2" s="120"/>
      <c r="F2" s="120"/>
      <c r="G2" s="120"/>
      <c r="H2" s="120"/>
      <c r="I2" s="120"/>
      <c r="J2" s="120"/>
    </row>
    <row r="3" spans="1:19" ht="16.5" thickBot="1" x14ac:dyDescent="0.3">
      <c r="A3" s="65"/>
      <c r="B3" s="61"/>
      <c r="C3" s="61"/>
      <c r="D3" s="61"/>
      <c r="E3" s="61"/>
      <c r="F3" s="61"/>
      <c r="G3" s="61"/>
      <c r="H3" s="61"/>
      <c r="I3" s="61"/>
      <c r="J3" s="61"/>
    </row>
    <row r="4" spans="1:19" ht="60" customHeight="1" thickTop="1" thickBot="1" x14ac:dyDescent="0.3">
      <c r="A4" s="656" t="s">
        <v>442</v>
      </c>
      <c r="B4" s="657"/>
      <c r="C4" s="657"/>
      <c r="D4" s="657"/>
      <c r="E4" s="657"/>
      <c r="F4" s="657"/>
      <c r="G4" s="657"/>
      <c r="H4" s="657"/>
      <c r="I4" s="657"/>
      <c r="J4" s="658"/>
    </row>
    <row r="5" spans="1:19" ht="15.75" thickTop="1" x14ac:dyDescent="0.25"/>
    <row r="6" spans="1:19" ht="18.75" x14ac:dyDescent="0.25">
      <c r="A6" s="534" t="s">
        <v>60</v>
      </c>
      <c r="B6" s="220"/>
      <c r="C6" s="220"/>
      <c r="D6" s="220"/>
      <c r="E6" s="220"/>
      <c r="F6" s="220"/>
      <c r="G6" s="220"/>
      <c r="H6" s="220"/>
      <c r="I6" s="220"/>
      <c r="J6" s="220"/>
    </row>
    <row r="7" spans="1:19" ht="113.25" customHeight="1" x14ac:dyDescent="0.25">
      <c r="A7" s="653" t="s">
        <v>510</v>
      </c>
      <c r="B7" s="654"/>
      <c r="C7" s="654"/>
      <c r="D7" s="654"/>
      <c r="E7" s="654"/>
      <c r="F7" s="654"/>
      <c r="G7" s="654"/>
      <c r="H7" s="654"/>
      <c r="I7" s="654"/>
      <c r="J7" s="655"/>
    </row>
    <row r="9" spans="1:19" s="55" customFormat="1" ht="15.75" x14ac:dyDescent="0.25">
      <c r="A9" s="550" t="s">
        <v>455</v>
      </c>
      <c r="B9" s="151"/>
      <c r="C9" s="151"/>
      <c r="D9" s="151"/>
      <c r="E9" s="151"/>
      <c r="F9" s="151"/>
      <c r="G9" s="151"/>
      <c r="H9" s="151"/>
      <c r="I9" s="151"/>
      <c r="J9" s="151"/>
      <c r="N9" s="133"/>
      <c r="O9" s="133"/>
      <c r="P9" s="133"/>
      <c r="Q9" s="133"/>
      <c r="R9" s="133"/>
    </row>
    <row r="10" spans="1:19" s="55" customFormat="1" ht="15.75" x14ac:dyDescent="0.25">
      <c r="A10" s="138"/>
      <c r="B10" s="169"/>
      <c r="C10" s="138"/>
      <c r="D10" s="177"/>
      <c r="E10" s="177"/>
      <c r="F10" s="177"/>
      <c r="G10" s="177"/>
      <c r="H10" s="177"/>
      <c r="I10" s="177"/>
      <c r="J10" s="177"/>
      <c r="N10" s="133"/>
      <c r="O10" s="133"/>
      <c r="P10" s="133"/>
      <c r="Q10" s="133"/>
      <c r="R10" s="133"/>
    </row>
    <row r="11" spans="1:19" s="55" customFormat="1" ht="31.5" x14ac:dyDescent="0.25">
      <c r="A11" s="348" t="s">
        <v>294</v>
      </c>
      <c r="B11" s="350" t="s">
        <v>293</v>
      </c>
      <c r="C11" s="349" t="s">
        <v>273</v>
      </c>
      <c r="D11" s="349" t="s">
        <v>283</v>
      </c>
      <c r="E11" s="349" t="s">
        <v>284</v>
      </c>
      <c r="F11" s="349" t="s">
        <v>285</v>
      </c>
      <c r="G11" s="349" t="s">
        <v>286</v>
      </c>
      <c r="H11" s="349" t="s">
        <v>462</v>
      </c>
      <c r="I11" s="349" t="s">
        <v>287</v>
      </c>
      <c r="J11" s="358" t="s">
        <v>288</v>
      </c>
      <c r="L11" s="172"/>
      <c r="M11" s="172"/>
      <c r="N11" s="172"/>
      <c r="O11" s="172"/>
      <c r="R11" s="172"/>
      <c r="S11" s="172"/>
    </row>
    <row r="12" spans="1:19" s="55" customFormat="1" ht="65.25" customHeight="1" x14ac:dyDescent="0.25">
      <c r="A12" s="404" t="s">
        <v>81</v>
      </c>
      <c r="B12" s="406" t="s">
        <v>407</v>
      </c>
      <c r="C12" s="389">
        <f>SUM(D12:J12)</f>
        <v>560000</v>
      </c>
      <c r="D12" s="392">
        <f>'Dig As-Builts - Inputs 1'!B12*0.01%</f>
        <v>80000</v>
      </c>
      <c r="E12" s="392">
        <f t="shared" ref="E12:J12" si="0">D12</f>
        <v>80000</v>
      </c>
      <c r="F12" s="392">
        <f t="shared" si="0"/>
        <v>80000</v>
      </c>
      <c r="G12" s="392">
        <f t="shared" si="0"/>
        <v>80000</v>
      </c>
      <c r="H12" s="392">
        <f t="shared" si="0"/>
        <v>80000</v>
      </c>
      <c r="I12" s="392">
        <f t="shared" si="0"/>
        <v>80000</v>
      </c>
      <c r="J12" s="392">
        <f t="shared" si="0"/>
        <v>80000</v>
      </c>
      <c r="L12" s="20"/>
      <c r="M12" s="20"/>
      <c r="N12" s="20"/>
      <c r="O12" s="20"/>
      <c r="R12" s="20"/>
      <c r="S12" s="20"/>
    </row>
    <row r="13" spans="1:19" s="55" customFormat="1" ht="15.75" x14ac:dyDescent="0.25">
      <c r="A13" s="419" t="s">
        <v>306</v>
      </c>
      <c r="B13" s="420" t="s">
        <v>306</v>
      </c>
      <c r="C13" s="389">
        <f t="shared" ref="C13:C23" si="1">SUM(D13:J13)</f>
        <v>0</v>
      </c>
      <c r="D13" s="399">
        <v>0</v>
      </c>
      <c r="E13" s="399">
        <v>0</v>
      </c>
      <c r="F13" s="399">
        <v>0</v>
      </c>
      <c r="G13" s="399">
        <v>0</v>
      </c>
      <c r="H13" s="399">
        <v>0</v>
      </c>
      <c r="I13" s="399">
        <v>0</v>
      </c>
      <c r="J13" s="399">
        <v>0</v>
      </c>
      <c r="L13" s="20"/>
      <c r="M13" s="20"/>
      <c r="N13" s="20"/>
      <c r="O13" s="20"/>
      <c r="R13" s="20"/>
      <c r="S13" s="20"/>
    </row>
    <row r="14" spans="1:19" s="55" customFormat="1" ht="15.75" x14ac:dyDescent="0.25">
      <c r="A14" s="419" t="s">
        <v>306</v>
      </c>
      <c r="B14" s="420" t="s">
        <v>306</v>
      </c>
      <c r="C14" s="389">
        <f t="shared" si="1"/>
        <v>0</v>
      </c>
      <c r="D14" s="399">
        <v>0</v>
      </c>
      <c r="E14" s="399">
        <v>0</v>
      </c>
      <c r="F14" s="399">
        <v>0</v>
      </c>
      <c r="G14" s="399">
        <v>0</v>
      </c>
      <c r="H14" s="399">
        <v>0</v>
      </c>
      <c r="I14" s="399">
        <v>0</v>
      </c>
      <c r="J14" s="399">
        <v>0</v>
      </c>
      <c r="L14" s="174"/>
      <c r="M14" s="174"/>
      <c r="N14" s="174"/>
      <c r="O14" s="174"/>
      <c r="R14" s="174"/>
      <c r="S14" s="174"/>
    </row>
    <row r="15" spans="1:19" s="55" customFormat="1" ht="15.75" x14ac:dyDescent="0.25">
      <c r="A15" s="419" t="s">
        <v>306</v>
      </c>
      <c r="B15" s="420" t="s">
        <v>306</v>
      </c>
      <c r="C15" s="389">
        <f t="shared" si="1"/>
        <v>0</v>
      </c>
      <c r="D15" s="399">
        <v>0</v>
      </c>
      <c r="E15" s="399">
        <v>0</v>
      </c>
      <c r="F15" s="399">
        <v>0</v>
      </c>
      <c r="G15" s="399">
        <v>0</v>
      </c>
      <c r="H15" s="399">
        <v>0</v>
      </c>
      <c r="I15" s="399">
        <v>0</v>
      </c>
      <c r="J15" s="399">
        <v>0</v>
      </c>
      <c r="L15" s="20"/>
      <c r="M15" s="20"/>
      <c r="N15" s="20"/>
      <c r="O15" s="20"/>
      <c r="R15" s="20"/>
      <c r="S15" s="20"/>
    </row>
    <row r="16" spans="1:19" s="55" customFormat="1" ht="15.75" x14ac:dyDescent="0.25">
      <c r="A16" s="419" t="s">
        <v>306</v>
      </c>
      <c r="B16" s="420" t="s">
        <v>306</v>
      </c>
      <c r="C16" s="389">
        <f t="shared" si="1"/>
        <v>0</v>
      </c>
      <c r="D16" s="399">
        <v>0</v>
      </c>
      <c r="E16" s="399">
        <v>0</v>
      </c>
      <c r="F16" s="399">
        <v>0</v>
      </c>
      <c r="G16" s="399">
        <v>0</v>
      </c>
      <c r="H16" s="399">
        <v>0</v>
      </c>
      <c r="I16" s="399">
        <v>0</v>
      </c>
      <c r="J16" s="399">
        <v>0</v>
      </c>
      <c r="L16" s="20"/>
      <c r="M16" s="20"/>
      <c r="N16" s="20"/>
      <c r="O16" s="20"/>
      <c r="R16" s="20"/>
      <c r="S16" s="20"/>
    </row>
    <row r="17" spans="1:19" s="55" customFormat="1" ht="15.75" x14ac:dyDescent="0.25">
      <c r="A17" s="419" t="s">
        <v>306</v>
      </c>
      <c r="B17" s="420" t="s">
        <v>306</v>
      </c>
      <c r="C17" s="389">
        <f t="shared" si="1"/>
        <v>0</v>
      </c>
      <c r="D17" s="399">
        <v>0</v>
      </c>
      <c r="E17" s="399">
        <v>0</v>
      </c>
      <c r="F17" s="399">
        <v>0</v>
      </c>
      <c r="G17" s="399">
        <v>0</v>
      </c>
      <c r="H17" s="399">
        <v>0</v>
      </c>
      <c r="I17" s="399">
        <v>0</v>
      </c>
      <c r="J17" s="399">
        <v>0</v>
      </c>
      <c r="L17" s="20"/>
      <c r="M17" s="20"/>
      <c r="N17" s="20"/>
      <c r="O17" s="20"/>
      <c r="R17" s="175"/>
      <c r="S17" s="175"/>
    </row>
    <row r="18" spans="1:19" s="55" customFormat="1" ht="15.75" x14ac:dyDescent="0.25">
      <c r="A18" s="419" t="s">
        <v>306</v>
      </c>
      <c r="B18" s="420" t="s">
        <v>306</v>
      </c>
      <c r="C18" s="389">
        <f t="shared" si="1"/>
        <v>0</v>
      </c>
      <c r="D18" s="399">
        <v>0</v>
      </c>
      <c r="E18" s="399">
        <v>0</v>
      </c>
      <c r="F18" s="399">
        <v>0</v>
      </c>
      <c r="G18" s="399">
        <v>0</v>
      </c>
      <c r="H18" s="399">
        <v>0</v>
      </c>
      <c r="I18" s="399">
        <v>0</v>
      </c>
      <c r="J18" s="399">
        <v>0</v>
      </c>
      <c r="L18" s="174"/>
      <c r="M18" s="174"/>
      <c r="N18" s="174"/>
      <c r="O18" s="174"/>
      <c r="R18" s="174"/>
      <c r="S18" s="174"/>
    </row>
    <row r="19" spans="1:19" s="55" customFormat="1" ht="15.75" x14ac:dyDescent="0.25">
      <c r="A19" s="419" t="s">
        <v>306</v>
      </c>
      <c r="B19" s="420" t="s">
        <v>306</v>
      </c>
      <c r="C19" s="389">
        <f t="shared" si="1"/>
        <v>0</v>
      </c>
      <c r="D19" s="399">
        <v>0</v>
      </c>
      <c r="E19" s="399">
        <v>0</v>
      </c>
      <c r="F19" s="399">
        <v>0</v>
      </c>
      <c r="G19" s="399">
        <v>0</v>
      </c>
      <c r="H19" s="399">
        <v>0</v>
      </c>
      <c r="I19" s="399">
        <v>0</v>
      </c>
      <c r="J19" s="399">
        <v>0</v>
      </c>
      <c r="L19" s="20"/>
      <c r="M19" s="20"/>
      <c r="N19" s="20"/>
      <c r="O19" s="20"/>
      <c r="R19" s="20"/>
      <c r="S19" s="20"/>
    </row>
    <row r="20" spans="1:19" s="55" customFormat="1" ht="15.75" x14ac:dyDescent="0.25">
      <c r="A20" s="419" t="s">
        <v>306</v>
      </c>
      <c r="B20" s="420" t="s">
        <v>306</v>
      </c>
      <c r="C20" s="389">
        <f t="shared" si="1"/>
        <v>0</v>
      </c>
      <c r="D20" s="399">
        <v>0</v>
      </c>
      <c r="E20" s="399">
        <v>0</v>
      </c>
      <c r="F20" s="399">
        <v>0</v>
      </c>
      <c r="G20" s="399">
        <v>0</v>
      </c>
      <c r="H20" s="399">
        <v>0</v>
      </c>
      <c r="I20" s="399">
        <v>0</v>
      </c>
      <c r="J20" s="399">
        <v>0</v>
      </c>
      <c r="L20" s="20"/>
      <c r="M20" s="20"/>
      <c r="N20" s="20"/>
      <c r="O20" s="20"/>
      <c r="R20" s="175"/>
      <c r="S20" s="175"/>
    </row>
    <row r="21" spans="1:19" s="55" customFormat="1" ht="15.75" x14ac:dyDescent="0.25">
      <c r="A21" s="419" t="s">
        <v>306</v>
      </c>
      <c r="B21" s="420" t="s">
        <v>306</v>
      </c>
      <c r="C21" s="389">
        <f t="shared" si="1"/>
        <v>0</v>
      </c>
      <c r="D21" s="399">
        <v>0</v>
      </c>
      <c r="E21" s="399">
        <v>0</v>
      </c>
      <c r="F21" s="399">
        <v>0</v>
      </c>
      <c r="G21" s="399">
        <v>0</v>
      </c>
      <c r="H21" s="399">
        <v>0</v>
      </c>
      <c r="I21" s="399">
        <v>0</v>
      </c>
      <c r="J21" s="399">
        <v>0</v>
      </c>
      <c r="L21" s="20"/>
      <c r="M21" s="20"/>
      <c r="N21" s="20"/>
      <c r="O21" s="20"/>
      <c r="R21" s="20"/>
      <c r="S21" s="20"/>
    </row>
    <row r="22" spans="1:19" s="55" customFormat="1" ht="15.75" x14ac:dyDescent="0.25">
      <c r="A22" s="419" t="s">
        <v>306</v>
      </c>
      <c r="B22" s="420" t="s">
        <v>306</v>
      </c>
      <c r="C22" s="389">
        <f t="shared" si="1"/>
        <v>0</v>
      </c>
      <c r="D22" s="399">
        <v>0</v>
      </c>
      <c r="E22" s="399">
        <v>0</v>
      </c>
      <c r="F22" s="399">
        <v>0</v>
      </c>
      <c r="G22" s="399">
        <v>0</v>
      </c>
      <c r="H22" s="399">
        <v>0</v>
      </c>
      <c r="I22" s="399">
        <v>0</v>
      </c>
      <c r="J22" s="399">
        <v>0</v>
      </c>
      <c r="L22" s="20"/>
      <c r="M22" s="20"/>
      <c r="N22" s="20"/>
      <c r="O22" s="242"/>
      <c r="R22" s="20"/>
      <c r="S22" s="20"/>
    </row>
    <row r="23" spans="1:19" s="55" customFormat="1" ht="15.75" x14ac:dyDescent="0.25">
      <c r="A23" s="419" t="s">
        <v>306</v>
      </c>
      <c r="B23" s="420" t="s">
        <v>306</v>
      </c>
      <c r="C23" s="389">
        <f t="shared" si="1"/>
        <v>0</v>
      </c>
      <c r="D23" s="399">
        <v>0</v>
      </c>
      <c r="E23" s="399">
        <v>0</v>
      </c>
      <c r="F23" s="399">
        <v>0</v>
      </c>
      <c r="G23" s="399">
        <v>0</v>
      </c>
      <c r="H23" s="399">
        <v>0</v>
      </c>
      <c r="I23" s="399">
        <v>0</v>
      </c>
      <c r="J23" s="399">
        <v>0</v>
      </c>
      <c r="K23" s="20"/>
      <c r="L23" s="20"/>
      <c r="M23" s="20"/>
      <c r="N23" s="20"/>
      <c r="O23" s="20"/>
      <c r="R23" s="20"/>
      <c r="S23" s="20"/>
    </row>
  </sheetData>
  <mergeCells count="2">
    <mergeCell ref="A4:J4"/>
    <mergeCell ref="A7:J7"/>
  </mergeCells>
  <pageMargins left="0.7" right="0.7" top="0.75" bottom="0.75" header="0.3" footer="0.3"/>
  <pageSetup paperSize="17" scale="90" orientation="landscape" verticalDpi="0" r:id="rId1"/>
  <ignoredErrors>
    <ignoredError sqref="C13:C23" unlockedFormula="1"/>
  </ignoredErrors>
  <tableParts count="1">
    <tablePart r:id="rId2"/>
  </tablePart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I53"/>
  <sheetViews>
    <sheetView zoomScale="70" zoomScaleNormal="70" workbookViewId="0">
      <pane ySplit="11" topLeftCell="A12" activePane="bottomLeft" state="frozen"/>
      <selection pane="bottomLeft" activeCell="Q9" sqref="Q9"/>
    </sheetView>
  </sheetViews>
  <sheetFormatPr defaultColWidth="9.140625" defaultRowHeight="15.75" x14ac:dyDescent="0.25"/>
  <cols>
    <col min="1" max="1" width="64.42578125" style="55" customWidth="1"/>
    <col min="2" max="2" width="19.5703125" style="55" bestFit="1" customWidth="1"/>
    <col min="3" max="3" width="14.5703125" style="55" customWidth="1"/>
    <col min="4" max="4" width="14.140625" style="55" bestFit="1" customWidth="1"/>
    <col min="5" max="5" width="15.85546875" style="55" bestFit="1" customWidth="1"/>
    <col min="6" max="6" width="17.85546875" style="55" customWidth="1"/>
    <col min="7" max="8" width="15.85546875" style="55" bestFit="1" customWidth="1"/>
    <col min="9" max="9" width="14.5703125" style="55" customWidth="1"/>
    <col min="10" max="16384" width="9.140625" style="117"/>
  </cols>
  <sheetData>
    <row r="1" spans="1:9" ht="18" customHeight="1" x14ac:dyDescent="0.35">
      <c r="A1" s="521" t="s">
        <v>300</v>
      </c>
      <c r="B1" s="120"/>
      <c r="C1" s="120"/>
      <c r="D1" s="120"/>
      <c r="E1" s="120"/>
      <c r="F1" s="120"/>
      <c r="G1" s="120"/>
      <c r="H1" s="120"/>
      <c r="I1" s="120"/>
    </row>
    <row r="2" spans="1:9" ht="18" customHeight="1" x14ac:dyDescent="0.3">
      <c r="A2" s="520" t="s">
        <v>154</v>
      </c>
      <c r="B2" s="120"/>
      <c r="C2" s="120"/>
      <c r="D2" s="120"/>
      <c r="E2" s="120"/>
      <c r="F2" s="120"/>
      <c r="G2" s="120"/>
      <c r="H2" s="120"/>
      <c r="I2" s="120"/>
    </row>
    <row r="3" spans="1:9" ht="16.5" thickBot="1" x14ac:dyDescent="0.3">
      <c r="A3" s="64"/>
      <c r="B3" s="120"/>
      <c r="C3" s="120"/>
      <c r="D3" s="120"/>
      <c r="E3" s="120"/>
      <c r="F3" s="120"/>
      <c r="G3" s="120"/>
      <c r="H3" s="120"/>
      <c r="I3" s="120"/>
    </row>
    <row r="4" spans="1:9" ht="63.75" customHeight="1" thickTop="1" thickBot="1" x14ac:dyDescent="0.3">
      <c r="A4" s="663" t="s">
        <v>408</v>
      </c>
      <c r="B4" s="627"/>
      <c r="C4" s="627"/>
      <c r="D4" s="627"/>
      <c r="E4" s="627"/>
      <c r="F4" s="627"/>
      <c r="G4" s="627"/>
      <c r="H4" s="627"/>
      <c r="I4" s="628"/>
    </row>
    <row r="5" spans="1:9" ht="16.5" thickTop="1" x14ac:dyDescent="0.25">
      <c r="A5" s="576"/>
      <c r="B5" s="195"/>
      <c r="C5" s="195"/>
      <c r="D5" s="195"/>
      <c r="E5" s="195"/>
      <c r="F5" s="195"/>
      <c r="G5" s="195"/>
      <c r="H5" s="195"/>
      <c r="I5" s="195"/>
    </row>
    <row r="6" spans="1:9" ht="112.5" customHeight="1" x14ac:dyDescent="0.25">
      <c r="A6" s="660" t="s">
        <v>536</v>
      </c>
      <c r="B6" s="661"/>
      <c r="C6" s="661"/>
      <c r="D6" s="661"/>
      <c r="E6" s="661"/>
      <c r="F6" s="661"/>
      <c r="G6" s="661"/>
      <c r="H6" s="661"/>
      <c r="I6" s="662"/>
    </row>
    <row r="7" spans="1:9" ht="18" customHeight="1" x14ac:dyDescent="0.25">
      <c r="A7" s="130"/>
      <c r="B7" s="130"/>
      <c r="C7" s="130"/>
      <c r="D7" s="130"/>
      <c r="E7" s="130"/>
      <c r="F7" s="130"/>
      <c r="G7" s="130"/>
      <c r="H7" s="130"/>
      <c r="I7" s="133"/>
    </row>
    <row r="8" spans="1:9" ht="18" customHeight="1" x14ac:dyDescent="0.25">
      <c r="A8" s="642" t="s">
        <v>520</v>
      </c>
      <c r="B8" s="643"/>
      <c r="C8" s="643"/>
      <c r="D8" s="643"/>
      <c r="E8" s="643"/>
      <c r="F8" s="643"/>
      <c r="G8" s="643"/>
      <c r="H8" s="643"/>
      <c r="I8" s="643"/>
    </row>
    <row r="9" spans="1:9" ht="121.9" customHeight="1" x14ac:dyDescent="0.25">
      <c r="A9" s="641" t="s">
        <v>409</v>
      </c>
      <c r="B9" s="641"/>
      <c r="C9" s="641"/>
      <c r="D9" s="641"/>
      <c r="E9" s="641"/>
      <c r="F9" s="641"/>
      <c r="G9" s="641"/>
      <c r="H9" s="641"/>
      <c r="I9" s="641"/>
    </row>
    <row r="10" spans="1:9" s="31" customFormat="1" ht="17.25" customHeight="1" x14ac:dyDescent="0.25">
      <c r="A10"/>
      <c r="B10"/>
      <c r="C10"/>
      <c r="D10"/>
      <c r="E10"/>
      <c r="F10"/>
      <c r="G10"/>
      <c r="H10"/>
      <c r="I10"/>
    </row>
    <row r="11" spans="1:9" x14ac:dyDescent="0.25">
      <c r="A11" s="339" t="s">
        <v>521</v>
      </c>
      <c r="B11" s="340" t="s">
        <v>522</v>
      </c>
      <c r="C11" s="340" t="s">
        <v>523</v>
      </c>
      <c r="D11" s="340" t="s">
        <v>524</v>
      </c>
      <c r="E11" s="340" t="s">
        <v>525</v>
      </c>
      <c r="F11" s="340" t="s">
        <v>526</v>
      </c>
      <c r="G11" s="340" t="s">
        <v>527</v>
      </c>
      <c r="H11" s="340" t="s">
        <v>528</v>
      </c>
      <c r="I11" s="341" t="s">
        <v>529</v>
      </c>
    </row>
    <row r="12" spans="1:9" x14ac:dyDescent="0.25">
      <c r="A12" s="417" t="str">
        <f>'Dig As-Builts - Inputs 2'!$A12</f>
        <v>Reduced time to verify as-builts</v>
      </c>
      <c r="B12" s="383">
        <f>SUM(C12:I12)</f>
        <v>1053000</v>
      </c>
      <c r="C12" s="384">
        <f>'Dig As-Builts - Inputs 2'!$C12*'Dig As-Builts - Inputs 2'!D12</f>
        <v>0</v>
      </c>
      <c r="D12" s="384">
        <f>'Dig As-Builts - Inputs 2'!$C12*'Dig As-Builts - Inputs 2'!E12</f>
        <v>97500</v>
      </c>
      <c r="E12" s="384">
        <f>'Dig As-Builts - Inputs 2'!$C12*'Dig As-Builts - Inputs 2'!F12</f>
        <v>175500</v>
      </c>
      <c r="F12" s="384">
        <f>'Dig As-Builts - Inputs 2'!$C12*'Dig As-Builts - Inputs 2'!G12</f>
        <v>195000</v>
      </c>
      <c r="G12" s="384">
        <f>'Dig As-Builts - Inputs 2'!$C12*'Dig As-Builts - Inputs 2'!H12</f>
        <v>195000</v>
      </c>
      <c r="H12" s="384">
        <f>'Dig As-Builts - Inputs 2'!$C12*'Dig As-Builts - Inputs 2'!I12</f>
        <v>195000</v>
      </c>
      <c r="I12" s="384">
        <f>'Dig As-Builts - Inputs 2'!$C12*'Dig As-Builts - Inputs 2'!J12</f>
        <v>195000</v>
      </c>
    </row>
    <row r="13" spans="1:9" ht="31.5" x14ac:dyDescent="0.25">
      <c r="A13" s="417" t="str">
        <f>'Dig As-Builts - Inputs 2'!$A13</f>
        <v>Faster access to data in the future and ability to use the information for asset management and other activities</v>
      </c>
      <c r="B13" s="383">
        <f>SUM(C13:I13)</f>
        <v>140400</v>
      </c>
      <c r="C13" s="384">
        <f>'Dig As-Builts - Inputs 2'!$C13*'Dig As-Builts - Inputs 2'!D13</f>
        <v>0</v>
      </c>
      <c r="D13" s="384">
        <f>'Dig As-Builts - Inputs 2'!$C13*'Dig As-Builts - Inputs 2'!E13</f>
        <v>13000</v>
      </c>
      <c r="E13" s="384">
        <f>'Dig As-Builts - Inputs 2'!$C13*'Dig As-Builts - Inputs 2'!F13</f>
        <v>23400</v>
      </c>
      <c r="F13" s="384">
        <f>'Dig As-Builts - Inputs 2'!$C13*'Dig As-Builts - Inputs 2'!G13</f>
        <v>26000</v>
      </c>
      <c r="G13" s="384">
        <f>'Dig As-Builts - Inputs 2'!$C13*'Dig As-Builts - Inputs 2'!H13</f>
        <v>26000</v>
      </c>
      <c r="H13" s="384">
        <f>'Dig As-Builts - Inputs 2'!$C13*'Dig As-Builts - Inputs 2'!I13</f>
        <v>26000</v>
      </c>
      <c r="I13" s="384">
        <f>'Dig As-Builts - Inputs 2'!$C13*'Dig As-Builts - Inputs 2'!J13</f>
        <v>26000</v>
      </c>
    </row>
    <row r="14" spans="1:9" x14ac:dyDescent="0.25">
      <c r="A14" s="395" t="s">
        <v>26</v>
      </c>
      <c r="B14" s="383">
        <f>SUM(B12:B12)</f>
        <v>1053000</v>
      </c>
      <c r="C14" s="383">
        <f t="shared" ref="C14:I14" si="0">SUM(C12:C13)</f>
        <v>0</v>
      </c>
      <c r="D14" s="383">
        <f t="shared" si="0"/>
        <v>110500</v>
      </c>
      <c r="E14" s="383">
        <f t="shared" si="0"/>
        <v>198900</v>
      </c>
      <c r="F14" s="383">
        <f t="shared" si="0"/>
        <v>221000</v>
      </c>
      <c r="G14" s="383">
        <f t="shared" si="0"/>
        <v>221000</v>
      </c>
      <c r="H14" s="383">
        <f t="shared" si="0"/>
        <v>221000</v>
      </c>
      <c r="I14" s="383">
        <f t="shared" si="0"/>
        <v>221000</v>
      </c>
    </row>
    <row r="15" spans="1:9" x14ac:dyDescent="0.25">
      <c r="A15" s="374"/>
      <c r="B15" s="378"/>
      <c r="C15" s="379"/>
      <c r="D15" s="379"/>
      <c r="E15" s="379"/>
      <c r="F15" s="379"/>
      <c r="G15" s="379"/>
      <c r="H15" s="379"/>
      <c r="I15" s="380"/>
    </row>
    <row r="16" spans="1:9" x14ac:dyDescent="0.25">
      <c r="A16" s="339" t="s">
        <v>530</v>
      </c>
      <c r="B16" s="340" t="s">
        <v>522</v>
      </c>
      <c r="C16" s="340" t="s">
        <v>523</v>
      </c>
      <c r="D16" s="340" t="s">
        <v>524</v>
      </c>
      <c r="E16" s="340" t="s">
        <v>525</v>
      </c>
      <c r="F16" s="340" t="s">
        <v>526</v>
      </c>
      <c r="G16" s="340" t="s">
        <v>527</v>
      </c>
      <c r="H16" s="340" t="s">
        <v>528</v>
      </c>
      <c r="I16" s="341" t="s">
        <v>529</v>
      </c>
    </row>
    <row r="17" spans="1:9" x14ac:dyDescent="0.25">
      <c r="A17" s="382" t="str">
        <f>'Dig As-Builts - Inputs 4'!$A12</f>
        <v>Additional contracting cost</v>
      </c>
      <c r="B17" s="383">
        <f>SUM(C17:I17)</f>
        <v>560000</v>
      </c>
      <c r="C17" s="384">
        <f>'Dig As-Builts - Inputs 4'!D12</f>
        <v>80000</v>
      </c>
      <c r="D17" s="384">
        <f>'Dig As-Builts - Inputs 4'!E12</f>
        <v>80000</v>
      </c>
      <c r="E17" s="384">
        <f>'Dig As-Builts - Inputs 4'!F12</f>
        <v>80000</v>
      </c>
      <c r="F17" s="384">
        <f>'Dig As-Builts - Inputs 4'!G12</f>
        <v>80000</v>
      </c>
      <c r="G17" s="384">
        <f>'Dig As-Builts - Inputs 4'!H12</f>
        <v>80000</v>
      </c>
      <c r="H17" s="384">
        <f>'Dig As-Builts - Inputs 4'!I12</f>
        <v>80000</v>
      </c>
      <c r="I17" s="384">
        <f>'Dig As-Builts - Inputs 4'!J12</f>
        <v>80000</v>
      </c>
    </row>
    <row r="18" spans="1:9" x14ac:dyDescent="0.25">
      <c r="A18" s="418" t="str">
        <f>'Dig As-Builts - Inputs 4'!$A$13</f>
        <v>N/A</v>
      </c>
      <c r="B18" s="383">
        <f>SUM(C18:I18)</f>
        <v>0</v>
      </c>
      <c r="C18" s="384">
        <f>'Dig As-Builts - Inputs 4'!D13</f>
        <v>0</v>
      </c>
      <c r="D18" s="384">
        <f>'Dig As-Builts - Inputs 4'!E13</f>
        <v>0</v>
      </c>
      <c r="E18" s="384">
        <f>'Dig As-Builts - Inputs 4'!F13</f>
        <v>0</v>
      </c>
      <c r="F18" s="384">
        <f>'Dig As-Builts - Inputs 4'!G13</f>
        <v>0</v>
      </c>
      <c r="G18" s="384">
        <f>'Dig As-Builts - Inputs 4'!H13</f>
        <v>0</v>
      </c>
      <c r="H18" s="384">
        <f>'Dig As-Builts - Inputs 4'!I13</f>
        <v>0</v>
      </c>
      <c r="I18" s="384">
        <f>'Dig As-Builts - Inputs 4'!J13</f>
        <v>0</v>
      </c>
    </row>
    <row r="19" spans="1:9" x14ac:dyDescent="0.25">
      <c r="A19" s="382" t="str">
        <f>'Dig As-Builts - Inputs 4'!$A14</f>
        <v>N/A</v>
      </c>
      <c r="B19" s="383">
        <f t="shared" ref="B19:B28" si="1">SUM(C19:I19)</f>
        <v>0</v>
      </c>
      <c r="C19" s="384">
        <f>'Dig As-Builts - Inputs 4'!D14</f>
        <v>0</v>
      </c>
      <c r="D19" s="384">
        <f>'Dig As-Builts - Inputs 4'!E14</f>
        <v>0</v>
      </c>
      <c r="E19" s="384">
        <f>'Dig As-Builts - Inputs 4'!F14</f>
        <v>0</v>
      </c>
      <c r="F19" s="384">
        <f>'Dig As-Builts - Inputs 4'!G14</f>
        <v>0</v>
      </c>
      <c r="G19" s="384">
        <f>'Dig As-Builts - Inputs 4'!H14</f>
        <v>0</v>
      </c>
      <c r="H19" s="384">
        <f>'Dig As-Builts - Inputs 4'!I14</f>
        <v>0</v>
      </c>
      <c r="I19" s="384">
        <f>'Dig As-Builts - Inputs 4'!J14</f>
        <v>0</v>
      </c>
    </row>
    <row r="20" spans="1:9" x14ac:dyDescent="0.25">
      <c r="A20" s="382" t="str">
        <f>'Dig As-Builts - Inputs 4'!$A15</f>
        <v>N/A</v>
      </c>
      <c r="B20" s="383">
        <f t="shared" si="1"/>
        <v>0</v>
      </c>
      <c r="C20" s="384">
        <f>'Dig As-Builts - Inputs 4'!D15</f>
        <v>0</v>
      </c>
      <c r="D20" s="384">
        <f>'Dig As-Builts - Inputs 4'!E15</f>
        <v>0</v>
      </c>
      <c r="E20" s="384">
        <f>'Dig As-Builts - Inputs 4'!F15</f>
        <v>0</v>
      </c>
      <c r="F20" s="384">
        <f>'Dig As-Builts - Inputs 4'!G15</f>
        <v>0</v>
      </c>
      <c r="G20" s="384">
        <f>'Dig As-Builts - Inputs 4'!H15</f>
        <v>0</v>
      </c>
      <c r="H20" s="384">
        <f>'Dig As-Builts - Inputs 4'!I15</f>
        <v>0</v>
      </c>
      <c r="I20" s="384">
        <f>'Dig As-Builts - Inputs 4'!J15</f>
        <v>0</v>
      </c>
    </row>
    <row r="21" spans="1:9" x14ac:dyDescent="0.25">
      <c r="A21" s="382" t="str">
        <f>'Dig As-Builts - Inputs 4'!$A16</f>
        <v>N/A</v>
      </c>
      <c r="B21" s="383">
        <f t="shared" si="1"/>
        <v>0</v>
      </c>
      <c r="C21" s="384">
        <f>'Dig As-Builts - Inputs 4'!D16</f>
        <v>0</v>
      </c>
      <c r="D21" s="384">
        <f>'Dig As-Builts - Inputs 4'!E16</f>
        <v>0</v>
      </c>
      <c r="E21" s="384">
        <f>'Dig As-Builts - Inputs 4'!F16</f>
        <v>0</v>
      </c>
      <c r="F21" s="384">
        <f>'Dig As-Builts - Inputs 4'!G16</f>
        <v>0</v>
      </c>
      <c r="G21" s="384">
        <f>'Dig As-Builts - Inputs 4'!H16</f>
        <v>0</v>
      </c>
      <c r="H21" s="384">
        <f>'Dig As-Builts - Inputs 4'!I16</f>
        <v>0</v>
      </c>
      <c r="I21" s="384">
        <f>'Dig As-Builts - Inputs 4'!J16</f>
        <v>0</v>
      </c>
    </row>
    <row r="22" spans="1:9" x14ac:dyDescent="0.25">
      <c r="A22" s="382" t="str">
        <f>'Dig As-Builts - Inputs 4'!$A17</f>
        <v>N/A</v>
      </c>
      <c r="B22" s="383">
        <f t="shared" si="1"/>
        <v>0</v>
      </c>
      <c r="C22" s="384">
        <f>'Dig As-Builts - Inputs 4'!D17</f>
        <v>0</v>
      </c>
      <c r="D22" s="384">
        <f>'Dig As-Builts - Inputs 4'!E17</f>
        <v>0</v>
      </c>
      <c r="E22" s="384">
        <f>'Dig As-Builts - Inputs 4'!F17</f>
        <v>0</v>
      </c>
      <c r="F22" s="384">
        <f>'Dig As-Builts - Inputs 4'!G17</f>
        <v>0</v>
      </c>
      <c r="G22" s="384">
        <f>'Dig As-Builts - Inputs 4'!H17</f>
        <v>0</v>
      </c>
      <c r="H22" s="384">
        <f>'Dig As-Builts - Inputs 4'!I17</f>
        <v>0</v>
      </c>
      <c r="I22" s="384">
        <f>'Dig As-Builts - Inputs 4'!J17</f>
        <v>0</v>
      </c>
    </row>
    <row r="23" spans="1:9" x14ac:dyDescent="0.25">
      <c r="A23" s="382" t="str">
        <f>'Dig As-Builts - Inputs 4'!$A18</f>
        <v>N/A</v>
      </c>
      <c r="B23" s="383">
        <f t="shared" si="1"/>
        <v>0</v>
      </c>
      <c r="C23" s="384">
        <f>'Dig As-Builts - Inputs 4'!D18</f>
        <v>0</v>
      </c>
      <c r="D23" s="384">
        <f>'Dig As-Builts - Inputs 4'!E18</f>
        <v>0</v>
      </c>
      <c r="E23" s="384">
        <f>'Dig As-Builts - Inputs 4'!F18</f>
        <v>0</v>
      </c>
      <c r="F23" s="384">
        <f>'Dig As-Builts - Inputs 4'!G18</f>
        <v>0</v>
      </c>
      <c r="G23" s="384">
        <f>'Dig As-Builts - Inputs 4'!H18</f>
        <v>0</v>
      </c>
      <c r="H23" s="384">
        <f>'Dig As-Builts - Inputs 4'!I18</f>
        <v>0</v>
      </c>
      <c r="I23" s="384">
        <f>'Dig As-Builts - Inputs 4'!J18</f>
        <v>0</v>
      </c>
    </row>
    <row r="24" spans="1:9" x14ac:dyDescent="0.25">
      <c r="A24" s="382" t="str">
        <f>'Dig As-Builts - Inputs 4'!$A20</f>
        <v>N/A</v>
      </c>
      <c r="B24" s="383">
        <f t="shared" si="1"/>
        <v>0</v>
      </c>
      <c r="C24" s="384">
        <f>'Dig As-Builts - Inputs 4'!D19</f>
        <v>0</v>
      </c>
      <c r="D24" s="384">
        <f>'Dig As-Builts - Inputs 4'!E19</f>
        <v>0</v>
      </c>
      <c r="E24" s="384">
        <f>'Dig As-Builts - Inputs 4'!F19</f>
        <v>0</v>
      </c>
      <c r="F24" s="384">
        <f>'Dig As-Builts - Inputs 4'!G19</f>
        <v>0</v>
      </c>
      <c r="G24" s="384">
        <f>'Dig As-Builts - Inputs 4'!H19</f>
        <v>0</v>
      </c>
      <c r="H24" s="384">
        <f>'Dig As-Builts - Inputs 4'!I19</f>
        <v>0</v>
      </c>
      <c r="I24" s="384">
        <f>'Dig As-Builts - Inputs 4'!J19</f>
        <v>0</v>
      </c>
    </row>
    <row r="25" spans="1:9" x14ac:dyDescent="0.25">
      <c r="A25" s="382" t="str">
        <f>'Dig As-Builts - Inputs 4'!$A21</f>
        <v>N/A</v>
      </c>
      <c r="B25" s="383">
        <f t="shared" si="1"/>
        <v>0</v>
      </c>
      <c r="C25" s="384">
        <f>'Dig As-Builts - Inputs 4'!D20</f>
        <v>0</v>
      </c>
      <c r="D25" s="384">
        <f>'Dig As-Builts - Inputs 4'!E20</f>
        <v>0</v>
      </c>
      <c r="E25" s="384">
        <f>'Dig As-Builts - Inputs 4'!F20</f>
        <v>0</v>
      </c>
      <c r="F25" s="384">
        <f>'Dig As-Builts - Inputs 4'!G20</f>
        <v>0</v>
      </c>
      <c r="G25" s="384">
        <f>'Dig As-Builts - Inputs 4'!H20</f>
        <v>0</v>
      </c>
      <c r="H25" s="384">
        <f>'Dig As-Builts - Inputs 4'!I20</f>
        <v>0</v>
      </c>
      <c r="I25" s="384">
        <f>'Dig As-Builts - Inputs 4'!J20</f>
        <v>0</v>
      </c>
    </row>
    <row r="26" spans="1:9" x14ac:dyDescent="0.25">
      <c r="A26" s="382" t="str">
        <f>'Dig As-Builts - Inputs 4'!$A22</f>
        <v>N/A</v>
      </c>
      <c r="B26" s="383">
        <f t="shared" si="1"/>
        <v>0</v>
      </c>
      <c r="C26" s="384">
        <f>'Dig As-Builts - Inputs 4'!D21</f>
        <v>0</v>
      </c>
      <c r="D26" s="384">
        <f>'Dig As-Builts - Inputs 4'!E21</f>
        <v>0</v>
      </c>
      <c r="E26" s="384">
        <f>'Dig As-Builts - Inputs 4'!F21</f>
        <v>0</v>
      </c>
      <c r="F26" s="384">
        <f>'Dig As-Builts - Inputs 4'!G21</f>
        <v>0</v>
      </c>
      <c r="G26" s="384">
        <f>'Dig As-Builts - Inputs 4'!H21</f>
        <v>0</v>
      </c>
      <c r="H26" s="384">
        <f>'Dig As-Builts - Inputs 4'!I21</f>
        <v>0</v>
      </c>
      <c r="I26" s="384">
        <f>'Dig As-Builts - Inputs 4'!J21</f>
        <v>0</v>
      </c>
    </row>
    <row r="27" spans="1:9" x14ac:dyDescent="0.25">
      <c r="A27" s="382" t="str">
        <f>'Dig As-Builts - Inputs 4'!$A23</f>
        <v>N/A</v>
      </c>
      <c r="B27" s="383">
        <f t="shared" si="1"/>
        <v>0</v>
      </c>
      <c r="C27" s="384">
        <f>'Dig As-Builts - Inputs 4'!D22</f>
        <v>0</v>
      </c>
      <c r="D27" s="384">
        <f>'Dig As-Builts - Inputs 4'!E22</f>
        <v>0</v>
      </c>
      <c r="E27" s="384">
        <f>'Dig As-Builts - Inputs 4'!F22</f>
        <v>0</v>
      </c>
      <c r="F27" s="384">
        <f>'Dig As-Builts - Inputs 4'!G22</f>
        <v>0</v>
      </c>
      <c r="G27" s="384">
        <f>'Dig As-Builts - Inputs 4'!H22</f>
        <v>0</v>
      </c>
      <c r="H27" s="384">
        <f>'Dig As-Builts - Inputs 4'!I22</f>
        <v>0</v>
      </c>
      <c r="I27" s="384">
        <f>'Dig As-Builts - Inputs 4'!J22</f>
        <v>0</v>
      </c>
    </row>
    <row r="28" spans="1:9" x14ac:dyDescent="0.25">
      <c r="A28" s="382" t="str">
        <f>'Dig As-Builts - Inputs 4'!$A19</f>
        <v>N/A</v>
      </c>
      <c r="B28" s="383">
        <f t="shared" si="1"/>
        <v>0</v>
      </c>
      <c r="C28" s="384">
        <f>'Dig As-Builts - Inputs 4'!D23</f>
        <v>0</v>
      </c>
      <c r="D28" s="384">
        <f>'Dig As-Builts - Inputs 4'!E23</f>
        <v>0</v>
      </c>
      <c r="E28" s="384">
        <f>'Dig As-Builts - Inputs 4'!F23</f>
        <v>0</v>
      </c>
      <c r="F28" s="384">
        <f>'Dig As-Builts - Inputs 4'!G23</f>
        <v>0</v>
      </c>
      <c r="G28" s="384">
        <f>'Dig As-Builts - Inputs 4'!H23</f>
        <v>0</v>
      </c>
      <c r="H28" s="384">
        <f>'Dig As-Builts - Inputs 4'!I23</f>
        <v>0</v>
      </c>
      <c r="I28" s="384">
        <f>'Dig As-Builts - Inputs 4'!J23</f>
        <v>0</v>
      </c>
    </row>
    <row r="29" spans="1:9" x14ac:dyDescent="0.25">
      <c r="A29" s="394" t="s">
        <v>27</v>
      </c>
      <c r="B29" s="383">
        <f t="shared" ref="B29:I29" si="2">SUM(B17:B28)</f>
        <v>560000</v>
      </c>
      <c r="C29" s="383">
        <f t="shared" si="2"/>
        <v>80000</v>
      </c>
      <c r="D29" s="383">
        <f t="shared" si="2"/>
        <v>80000</v>
      </c>
      <c r="E29" s="383">
        <f t="shared" si="2"/>
        <v>80000</v>
      </c>
      <c r="F29" s="383">
        <f t="shared" si="2"/>
        <v>80000</v>
      </c>
      <c r="G29" s="383">
        <f t="shared" si="2"/>
        <v>80000</v>
      </c>
      <c r="H29" s="383">
        <f t="shared" si="2"/>
        <v>80000</v>
      </c>
      <c r="I29" s="383">
        <f t="shared" si="2"/>
        <v>80000</v>
      </c>
    </row>
    <row r="30" spans="1:9" x14ac:dyDescent="0.25">
      <c r="A30" s="394" t="s">
        <v>208</v>
      </c>
      <c r="B30" s="385">
        <f t="shared" ref="B30:I30" si="3">B14-B29</f>
        <v>493000</v>
      </c>
      <c r="C30" s="383">
        <f t="shared" si="3"/>
        <v>-80000</v>
      </c>
      <c r="D30" s="383">
        <f t="shared" si="3"/>
        <v>30500</v>
      </c>
      <c r="E30" s="383">
        <f t="shared" si="3"/>
        <v>118900</v>
      </c>
      <c r="F30" s="383">
        <f t="shared" si="3"/>
        <v>141000</v>
      </c>
      <c r="G30" s="383">
        <f t="shared" si="3"/>
        <v>141000</v>
      </c>
      <c r="H30" s="383">
        <f t="shared" si="3"/>
        <v>141000</v>
      </c>
      <c r="I30" s="383">
        <f t="shared" si="3"/>
        <v>141000</v>
      </c>
    </row>
    <row r="31" spans="1:9" s="133" customFormat="1" x14ac:dyDescent="0.25">
      <c r="A31" s="395" t="s">
        <v>206</v>
      </c>
      <c r="B31" s="580" t="s">
        <v>306</v>
      </c>
      <c r="C31" s="383">
        <f>C30</f>
        <v>-80000</v>
      </c>
      <c r="D31" s="383">
        <f>D30+C30</f>
        <v>-49500</v>
      </c>
      <c r="E31" s="383">
        <f>E30+D31</f>
        <v>69400</v>
      </c>
      <c r="F31" s="383">
        <f>F30+E31</f>
        <v>210400</v>
      </c>
      <c r="G31" s="383">
        <f>G30+F31</f>
        <v>351400</v>
      </c>
      <c r="H31" s="383">
        <f>H30+G31</f>
        <v>492400</v>
      </c>
      <c r="I31" s="383">
        <f>I30+H31</f>
        <v>633400</v>
      </c>
    </row>
    <row r="32" spans="1:9" s="133" customFormat="1" ht="12" customHeight="1" x14ac:dyDescent="0.25">
      <c r="A32" s="215"/>
      <c r="B32" s="215"/>
      <c r="C32" s="261"/>
      <c r="D32" s="261"/>
      <c r="E32" s="261"/>
      <c r="F32" s="261"/>
      <c r="G32" s="261"/>
      <c r="H32" s="261"/>
      <c r="I32" s="261"/>
    </row>
    <row r="33" spans="1:9" s="133" customFormat="1" x14ac:dyDescent="0.25">
      <c r="A33" s="315" t="s">
        <v>42</v>
      </c>
      <c r="B33" s="426" t="str">
        <f>INDEX($C$41:$I$41,MATCH(TRUE, INDEX($C$31:$I$31 &gt;0,),0))</f>
        <v>Year 3</v>
      </c>
      <c r="C33" s="238"/>
      <c r="D33" s="215"/>
      <c r="E33" s="215"/>
      <c r="F33" s="215"/>
      <c r="G33" s="215"/>
      <c r="H33" s="215"/>
    </row>
    <row r="34" spans="1:9" s="133" customFormat="1" x14ac:dyDescent="0.25">
      <c r="A34" s="316" t="s">
        <v>440</v>
      </c>
      <c r="B34" s="427" t="s">
        <v>101</v>
      </c>
      <c r="C34" s="238"/>
      <c r="D34" s="215"/>
      <c r="E34" s="215"/>
      <c r="F34" s="215"/>
      <c r="G34" s="215"/>
      <c r="H34" s="215"/>
    </row>
    <row r="35" spans="1:9" s="133" customFormat="1" ht="15" customHeight="1" x14ac:dyDescent="0.25">
      <c r="A35" s="316" t="s">
        <v>439</v>
      </c>
      <c r="B35" s="427">
        <f>VLOOKUP(B34,$B$47:$C$53,2, FALSE)</f>
        <v>1.1310714285714285</v>
      </c>
    </row>
    <row r="36" spans="1:9" s="133" customFormat="1" x14ac:dyDescent="0.25">
      <c r="A36" s="316" t="s">
        <v>75</v>
      </c>
      <c r="B36" s="428">
        <f>VLOOKUP(B34,$B$47:$E$53,4,FALSE)/VLOOKUP(B34,$B$47:$E$53,3,FALSE)</f>
        <v>80000</v>
      </c>
    </row>
    <row r="37" spans="1:9" s="133" customFormat="1" x14ac:dyDescent="0.25">
      <c r="A37" s="314" t="s">
        <v>207</v>
      </c>
      <c r="B37" s="428">
        <f>VLOOKUP(B34,$B$47:$F$53,5,FALSE)/VLOOKUP(B34,$B$47:$F$53,3,FALSE)</f>
        <v>90485.71428571429</v>
      </c>
    </row>
    <row r="38" spans="1:9" x14ac:dyDescent="0.25">
      <c r="A38" s="133"/>
      <c r="B38" s="133"/>
      <c r="C38" s="133"/>
      <c r="D38" s="133"/>
      <c r="E38" s="133"/>
      <c r="F38" s="133"/>
      <c r="G38" s="133"/>
      <c r="H38" s="133"/>
      <c r="I38" s="133"/>
    </row>
    <row r="39" spans="1:9" x14ac:dyDescent="0.25">
      <c r="A39" s="133"/>
      <c r="B39" s="133"/>
      <c r="C39" s="133"/>
      <c r="D39" s="133"/>
      <c r="E39" s="133"/>
      <c r="F39" s="133"/>
      <c r="G39" s="133"/>
      <c r="H39" s="133"/>
      <c r="I39" s="133"/>
    </row>
    <row r="40" spans="1:9" ht="15" hidden="1" customHeight="1" thickBot="1" x14ac:dyDescent="0.3">
      <c r="A40" s="221" t="s">
        <v>155</v>
      </c>
      <c r="B40" s="222"/>
      <c r="C40" s="222"/>
      <c r="D40" s="222"/>
      <c r="E40" s="222"/>
      <c r="F40" s="222"/>
      <c r="G40" s="222"/>
      <c r="H40" s="222"/>
      <c r="I40" s="223"/>
    </row>
    <row r="41" spans="1:9" ht="15" hidden="1" customHeight="1" x14ac:dyDescent="0.25">
      <c r="A41" s="584"/>
      <c r="B41" s="585"/>
      <c r="C41" s="586" t="s">
        <v>43</v>
      </c>
      <c r="D41" s="586" t="s">
        <v>44</v>
      </c>
      <c r="E41" s="586" t="s">
        <v>45</v>
      </c>
      <c r="F41" s="586" t="s">
        <v>46</v>
      </c>
      <c r="G41" s="586" t="s">
        <v>47</v>
      </c>
      <c r="H41" s="586" t="s">
        <v>48</v>
      </c>
      <c r="I41" s="587" t="s">
        <v>49</v>
      </c>
    </row>
    <row r="42" spans="1:9" hidden="1" x14ac:dyDescent="0.25">
      <c r="A42" s="224" t="s">
        <v>102</v>
      </c>
      <c r="B42" s="225"/>
      <c r="C42" s="226">
        <f>C29</f>
        <v>80000</v>
      </c>
      <c r="D42" s="226">
        <f t="shared" ref="D42:I42" si="4">D29+C42</f>
        <v>160000</v>
      </c>
      <c r="E42" s="226">
        <f t="shared" si="4"/>
        <v>240000</v>
      </c>
      <c r="F42" s="226">
        <f t="shared" si="4"/>
        <v>320000</v>
      </c>
      <c r="G42" s="226">
        <f t="shared" si="4"/>
        <v>400000</v>
      </c>
      <c r="H42" s="226">
        <f t="shared" si="4"/>
        <v>480000</v>
      </c>
      <c r="I42" s="227">
        <f t="shared" si="4"/>
        <v>560000</v>
      </c>
    </row>
    <row r="43" spans="1:9" hidden="1" x14ac:dyDescent="0.25">
      <c r="A43" s="224" t="s">
        <v>162</v>
      </c>
      <c r="B43" s="225"/>
      <c r="C43" s="228">
        <f t="shared" ref="C43:I43" si="5">C31/C42</f>
        <v>-1</v>
      </c>
      <c r="D43" s="228">
        <f t="shared" si="5"/>
        <v>-0.30937500000000001</v>
      </c>
      <c r="E43" s="228">
        <f t="shared" si="5"/>
        <v>0.28916666666666668</v>
      </c>
      <c r="F43" s="228">
        <f t="shared" si="5"/>
        <v>0.65749999999999997</v>
      </c>
      <c r="G43" s="228">
        <f t="shared" si="5"/>
        <v>0.87849999999999995</v>
      </c>
      <c r="H43" s="228">
        <f t="shared" si="5"/>
        <v>1.0258333333333334</v>
      </c>
      <c r="I43" s="229">
        <f t="shared" si="5"/>
        <v>1.1310714285714285</v>
      </c>
    </row>
    <row r="44" spans="1:9" hidden="1" x14ac:dyDescent="0.25">
      <c r="A44" s="224"/>
      <c r="B44" s="225"/>
      <c r="C44" s="225"/>
      <c r="D44" s="225"/>
      <c r="E44" s="225"/>
      <c r="F44" s="225"/>
      <c r="G44" s="225"/>
      <c r="H44" s="225"/>
      <c r="I44" s="230"/>
    </row>
    <row r="45" spans="1:9" hidden="1" x14ac:dyDescent="0.25">
      <c r="A45" s="224"/>
      <c r="B45" s="225"/>
      <c r="C45" s="225"/>
      <c r="D45" s="225"/>
      <c r="E45" s="225"/>
      <c r="F45" s="225"/>
      <c r="G45" s="225"/>
      <c r="H45" s="225"/>
      <c r="I45" s="230"/>
    </row>
    <row r="46" spans="1:9" hidden="1" x14ac:dyDescent="0.25">
      <c r="A46" s="224"/>
      <c r="B46" s="183" t="s">
        <v>163</v>
      </c>
      <c r="C46" s="183" t="s">
        <v>162</v>
      </c>
      <c r="D46" s="183" t="s">
        <v>163</v>
      </c>
      <c r="E46" s="183" t="s">
        <v>102</v>
      </c>
      <c r="F46" s="183" t="s">
        <v>206</v>
      </c>
      <c r="G46" s="225"/>
      <c r="H46" s="225"/>
      <c r="I46" s="230"/>
    </row>
    <row r="47" spans="1:9" hidden="1" x14ac:dyDescent="0.25">
      <c r="A47" s="224"/>
      <c r="B47" s="186" t="s">
        <v>95</v>
      </c>
      <c r="C47" s="185">
        <f>C43</f>
        <v>-1</v>
      </c>
      <c r="D47" s="183">
        <v>1</v>
      </c>
      <c r="E47" s="184">
        <f>C42</f>
        <v>80000</v>
      </c>
      <c r="F47" s="184">
        <f>C31</f>
        <v>-80000</v>
      </c>
      <c r="G47" s="225"/>
      <c r="H47" s="225"/>
      <c r="I47" s="230"/>
    </row>
    <row r="48" spans="1:9" hidden="1" x14ac:dyDescent="0.25">
      <c r="A48" s="224"/>
      <c r="B48" s="186" t="s">
        <v>96</v>
      </c>
      <c r="C48" s="185">
        <f>D43</f>
        <v>-0.30937500000000001</v>
      </c>
      <c r="D48" s="183">
        <v>2</v>
      </c>
      <c r="E48" s="184">
        <f>D42</f>
        <v>160000</v>
      </c>
      <c r="F48" s="184">
        <f>D31</f>
        <v>-49500</v>
      </c>
      <c r="G48" s="225"/>
      <c r="H48" s="225"/>
      <c r="I48" s="230"/>
    </row>
    <row r="49" spans="1:9" hidden="1" x14ac:dyDescent="0.25">
      <c r="A49" s="224"/>
      <c r="B49" s="186" t="s">
        <v>97</v>
      </c>
      <c r="C49" s="187">
        <f>E43</f>
        <v>0.28916666666666668</v>
      </c>
      <c r="D49" s="183">
        <v>3</v>
      </c>
      <c r="E49" s="184">
        <f>E42</f>
        <v>240000</v>
      </c>
      <c r="F49" s="184">
        <f>E31</f>
        <v>69400</v>
      </c>
      <c r="G49" s="225"/>
      <c r="H49" s="225"/>
      <c r="I49" s="230"/>
    </row>
    <row r="50" spans="1:9" hidden="1" x14ac:dyDescent="0.25">
      <c r="A50" s="224"/>
      <c r="B50" s="186" t="s">
        <v>98</v>
      </c>
      <c r="C50" s="187">
        <f>F43</f>
        <v>0.65749999999999997</v>
      </c>
      <c r="D50" s="183">
        <v>4</v>
      </c>
      <c r="E50" s="184">
        <f>F42</f>
        <v>320000</v>
      </c>
      <c r="F50" s="184">
        <f>F31</f>
        <v>210400</v>
      </c>
      <c r="G50" s="225"/>
      <c r="H50" s="225"/>
      <c r="I50" s="230"/>
    </row>
    <row r="51" spans="1:9" hidden="1" x14ac:dyDescent="0.25">
      <c r="A51" s="224"/>
      <c r="B51" s="186" t="s">
        <v>99</v>
      </c>
      <c r="C51" s="187">
        <f>G43</f>
        <v>0.87849999999999995</v>
      </c>
      <c r="D51" s="183">
        <v>5</v>
      </c>
      <c r="E51" s="184">
        <f>G42</f>
        <v>400000</v>
      </c>
      <c r="F51" s="184">
        <f>G31</f>
        <v>351400</v>
      </c>
      <c r="G51" s="225"/>
      <c r="H51" s="225"/>
      <c r="I51" s="230"/>
    </row>
    <row r="52" spans="1:9" hidden="1" x14ac:dyDescent="0.25">
      <c r="A52" s="224"/>
      <c r="B52" s="186" t="s">
        <v>100</v>
      </c>
      <c r="C52" s="187">
        <f>H43</f>
        <v>1.0258333333333334</v>
      </c>
      <c r="D52" s="183">
        <v>6</v>
      </c>
      <c r="E52" s="184">
        <f>H42</f>
        <v>480000</v>
      </c>
      <c r="F52" s="184">
        <f>H31</f>
        <v>492400</v>
      </c>
      <c r="G52" s="225"/>
      <c r="H52" s="225"/>
      <c r="I52" s="230"/>
    </row>
    <row r="53" spans="1:9" ht="16.5" hidden="1" thickBot="1" x14ac:dyDescent="0.3">
      <c r="A53" s="231"/>
      <c r="B53" s="232" t="s">
        <v>101</v>
      </c>
      <c r="C53" s="233">
        <f>I43</f>
        <v>1.1310714285714285</v>
      </c>
      <c r="D53" s="234">
        <v>7</v>
      </c>
      <c r="E53" s="235">
        <f>I42</f>
        <v>560000</v>
      </c>
      <c r="F53" s="235">
        <f>I31</f>
        <v>633400</v>
      </c>
      <c r="G53" s="236"/>
      <c r="H53" s="236"/>
      <c r="I53" s="237"/>
    </row>
  </sheetData>
  <sheetProtection insertColumns="0" insertRows="0" selectLockedCells="1"/>
  <mergeCells count="4">
    <mergeCell ref="A4:I4"/>
    <mergeCell ref="A8:I8"/>
    <mergeCell ref="A9:I9"/>
    <mergeCell ref="A6:I6"/>
  </mergeCells>
  <dataValidations count="1">
    <dataValidation type="list" allowBlank="1" showInputMessage="1" showErrorMessage="1" sqref="B34">
      <formula1>$B$47:$B$53</formula1>
    </dataValidation>
  </dataValidations>
  <pageMargins left="0.7" right="0.7" top="0.75" bottom="0.75" header="0.3" footer="0.3"/>
  <pageSetup paperSize="17" orientation="landscape" verticalDpi="0" r:id="rId1"/>
  <tableParts count="2">
    <tablePart r:id="rId2"/>
    <tablePart r:id="rId3"/>
  </tablePart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X39"/>
  <sheetViews>
    <sheetView topLeftCell="A13" zoomScale="70" zoomScaleNormal="70" workbookViewId="0">
      <selection activeCell="D31" sqref="D31"/>
    </sheetView>
  </sheetViews>
  <sheetFormatPr defaultColWidth="9.140625" defaultRowHeight="15" x14ac:dyDescent="0.25"/>
  <cols>
    <col min="1" max="1" width="164.85546875" style="31" customWidth="1"/>
    <col min="2" max="20" width="9.140625" style="31"/>
    <col min="21" max="16384" width="9.140625" style="24"/>
  </cols>
  <sheetData>
    <row r="1" spans="1:24" ht="21" x14ac:dyDescent="0.35">
      <c r="A1" s="556" t="s">
        <v>300</v>
      </c>
      <c r="B1" s="75"/>
      <c r="D1" s="75"/>
      <c r="E1" s="75"/>
      <c r="F1" s="75"/>
      <c r="G1" s="75"/>
      <c r="H1" s="75"/>
      <c r="I1" s="75"/>
      <c r="J1" s="75"/>
      <c r="K1" s="75"/>
      <c r="L1" s="75"/>
      <c r="M1" s="75"/>
      <c r="N1" s="75"/>
      <c r="O1" s="75"/>
      <c r="P1" s="75"/>
    </row>
    <row r="2" spans="1:24" ht="18.75" x14ac:dyDescent="0.3">
      <c r="A2" s="520" t="s">
        <v>305</v>
      </c>
      <c r="B2" s="76"/>
      <c r="D2" s="76"/>
      <c r="E2" s="76"/>
      <c r="F2" s="76"/>
      <c r="G2" s="76"/>
      <c r="H2" s="76"/>
      <c r="I2" s="76"/>
      <c r="J2" s="76"/>
      <c r="K2" s="76"/>
      <c r="L2" s="76"/>
      <c r="M2" s="76"/>
      <c r="N2" s="76"/>
      <c r="O2" s="76"/>
      <c r="P2" s="76"/>
    </row>
    <row r="3" spans="1:24" ht="16.5" thickBot="1" x14ac:dyDescent="0.3">
      <c r="A3" s="193"/>
      <c r="B3" s="77"/>
      <c r="D3" s="77"/>
      <c r="E3"/>
      <c r="F3" s="77"/>
      <c r="G3" s="77"/>
      <c r="H3" s="77"/>
      <c r="I3" s="77"/>
      <c r="J3" s="77"/>
      <c r="K3" s="77"/>
      <c r="L3" s="77"/>
      <c r="M3" s="77"/>
      <c r="N3" s="77"/>
      <c r="O3" s="77"/>
      <c r="P3" s="77"/>
    </row>
    <row r="4" spans="1:24" ht="76.150000000000006" customHeight="1" thickTop="1" thickBot="1" x14ac:dyDescent="0.3">
      <c r="A4" s="295" t="s">
        <v>410</v>
      </c>
    </row>
    <row r="5" spans="1:24" ht="15.75" thickTop="1" x14ac:dyDescent="0.25">
      <c r="A5" s="294"/>
      <c r="B5" s="48"/>
      <c r="C5" s="48"/>
      <c r="D5" s="48"/>
      <c r="E5" s="48"/>
      <c r="F5" s="48"/>
      <c r="G5" s="48"/>
      <c r="H5" s="48"/>
      <c r="I5" s="48"/>
      <c r="J5" s="27"/>
      <c r="K5" s="27"/>
      <c r="L5" s="27"/>
      <c r="M5" s="27"/>
      <c r="N5" s="27"/>
      <c r="O5" s="27"/>
      <c r="P5" s="27"/>
      <c r="Q5" s="27"/>
      <c r="R5" s="27"/>
      <c r="S5" s="27"/>
      <c r="T5" s="27"/>
      <c r="U5" s="25"/>
      <c r="V5" s="25"/>
      <c r="W5" s="25"/>
      <c r="X5" s="25"/>
    </row>
    <row r="6" spans="1:24" ht="15.75" x14ac:dyDescent="0.25">
      <c r="A6" s="566" t="s">
        <v>478</v>
      </c>
      <c r="B6" s="49"/>
      <c r="C6" s="27"/>
      <c r="D6" s="27"/>
      <c r="E6" s="27"/>
      <c r="F6" s="27"/>
      <c r="G6" s="27"/>
      <c r="H6" s="27"/>
      <c r="I6" s="27"/>
      <c r="J6" s="27"/>
      <c r="K6" s="27"/>
      <c r="L6" s="27"/>
      <c r="M6" s="27"/>
      <c r="N6" s="27"/>
      <c r="O6" s="27"/>
      <c r="P6" s="27"/>
      <c r="Q6" s="27"/>
      <c r="R6" s="27"/>
      <c r="S6" s="27"/>
      <c r="T6" s="27"/>
      <c r="U6" s="25"/>
      <c r="V6" s="25"/>
      <c r="W6" s="25"/>
      <c r="X6" s="25"/>
    </row>
    <row r="7" spans="1:24" x14ac:dyDescent="0.25">
      <c r="A7" s="39"/>
      <c r="B7" s="49"/>
      <c r="C7" s="49"/>
      <c r="D7" s="27"/>
      <c r="E7" s="27"/>
      <c r="F7" s="27"/>
      <c r="G7" s="27"/>
      <c r="H7" s="27"/>
      <c r="I7" s="27"/>
      <c r="J7" s="27"/>
      <c r="K7" s="27"/>
      <c r="L7" s="27"/>
      <c r="M7" s="27"/>
      <c r="N7" s="27"/>
      <c r="O7" s="27"/>
      <c r="P7" s="27"/>
      <c r="Q7" s="27"/>
      <c r="R7" s="27"/>
      <c r="S7" s="27"/>
      <c r="T7" s="27"/>
      <c r="U7" s="25"/>
      <c r="V7" s="25"/>
      <c r="W7" s="25"/>
      <c r="X7" s="25"/>
    </row>
    <row r="8" spans="1:24" x14ac:dyDescent="0.25">
      <c r="A8" s="39"/>
      <c r="B8" s="27"/>
      <c r="C8" s="49"/>
      <c r="D8" s="49"/>
      <c r="E8" s="27"/>
      <c r="F8" s="27"/>
      <c r="G8" s="27"/>
      <c r="H8" s="27"/>
      <c r="I8" s="27"/>
      <c r="J8" s="27"/>
      <c r="K8" s="27"/>
      <c r="L8" s="27"/>
      <c r="M8" s="27"/>
      <c r="N8" s="27"/>
      <c r="O8" s="27"/>
      <c r="P8" s="27"/>
      <c r="Q8" s="27"/>
      <c r="R8" s="27"/>
      <c r="S8" s="27"/>
      <c r="T8" s="27"/>
      <c r="U8" s="25"/>
      <c r="V8" s="25"/>
      <c r="W8" s="25"/>
      <c r="X8" s="25"/>
    </row>
    <row r="9" spans="1:24" x14ac:dyDescent="0.25">
      <c r="A9" s="39"/>
      <c r="B9" s="27"/>
      <c r="C9" s="27"/>
      <c r="D9" s="49"/>
      <c r="E9" s="27"/>
      <c r="F9" s="27"/>
      <c r="G9" s="27"/>
      <c r="H9" s="27"/>
      <c r="I9" s="27"/>
      <c r="J9" s="27"/>
      <c r="K9" s="27"/>
      <c r="L9" s="27"/>
      <c r="M9" s="27"/>
      <c r="N9" s="27"/>
      <c r="O9" s="27"/>
      <c r="P9" s="27"/>
      <c r="Q9" s="27"/>
      <c r="R9" s="27"/>
      <c r="S9" s="27"/>
      <c r="T9" s="27"/>
      <c r="U9" s="25"/>
      <c r="V9" s="25"/>
      <c r="W9" s="25"/>
      <c r="X9" s="25"/>
    </row>
    <row r="10" spans="1:24" x14ac:dyDescent="0.25">
      <c r="A10" s="39"/>
      <c r="B10" s="27"/>
      <c r="C10" s="27"/>
      <c r="D10" s="49"/>
      <c r="E10" s="27"/>
      <c r="F10" s="27"/>
      <c r="G10" s="27"/>
      <c r="H10" s="27"/>
      <c r="I10" s="27"/>
      <c r="J10" s="27"/>
      <c r="K10" s="27"/>
      <c r="L10" s="27"/>
      <c r="M10" s="27"/>
      <c r="N10" s="27"/>
      <c r="O10" s="27"/>
      <c r="P10" s="27"/>
      <c r="Q10" s="27"/>
      <c r="R10" s="27"/>
    </row>
    <row r="11" spans="1:24" x14ac:dyDescent="0.25">
      <c r="A11" s="39"/>
      <c r="B11" s="27"/>
      <c r="C11" s="27"/>
      <c r="D11" s="27"/>
      <c r="E11" s="49"/>
      <c r="F11" s="27"/>
      <c r="G11" s="27"/>
      <c r="H11" s="27"/>
      <c r="I11" s="27"/>
      <c r="J11" s="27"/>
      <c r="K11" s="27"/>
      <c r="L11" s="27"/>
      <c r="M11" s="27"/>
      <c r="N11" s="27"/>
      <c r="O11" s="27"/>
      <c r="P11" s="27"/>
      <c r="Q11" s="27"/>
      <c r="R11" s="27"/>
    </row>
    <row r="12" spans="1:24" x14ac:dyDescent="0.25">
      <c r="A12" s="39"/>
      <c r="B12" s="27"/>
      <c r="C12" s="27"/>
      <c r="D12" s="27"/>
      <c r="E12" s="49"/>
      <c r="F12" s="27"/>
      <c r="G12" s="27"/>
      <c r="H12" s="27"/>
      <c r="I12" s="27"/>
      <c r="J12" s="27"/>
      <c r="K12" s="27"/>
      <c r="L12" s="27"/>
      <c r="M12" s="27"/>
      <c r="N12" s="27"/>
      <c r="O12" s="27"/>
      <c r="P12" s="27"/>
      <c r="Q12" s="27"/>
      <c r="R12" s="27"/>
    </row>
    <row r="13" spans="1:24" x14ac:dyDescent="0.25">
      <c r="A13" s="36"/>
      <c r="B13" s="27"/>
      <c r="C13" s="27"/>
      <c r="D13" s="27"/>
      <c r="E13" s="27"/>
      <c r="F13" s="50"/>
      <c r="G13" s="50"/>
      <c r="H13" s="50"/>
      <c r="I13" s="50"/>
      <c r="J13" s="50"/>
      <c r="K13" s="50"/>
      <c r="L13" s="50"/>
      <c r="M13" s="50"/>
      <c r="N13" s="50"/>
      <c r="O13" s="50"/>
      <c r="P13" s="27"/>
      <c r="Q13" s="27"/>
      <c r="R13" s="27"/>
    </row>
    <row r="14" spans="1:24" x14ac:dyDescent="0.25">
      <c r="A14" s="39"/>
      <c r="B14" s="27"/>
      <c r="C14" s="27"/>
      <c r="D14" s="27"/>
      <c r="E14" s="27"/>
      <c r="F14" s="49"/>
      <c r="G14" s="27"/>
      <c r="H14" s="27"/>
      <c r="I14" s="27"/>
      <c r="J14" s="27"/>
      <c r="K14" s="27"/>
      <c r="L14" s="27"/>
      <c r="M14" s="27"/>
      <c r="N14" s="27"/>
      <c r="O14" s="27"/>
      <c r="P14" s="27"/>
      <c r="Q14" s="27"/>
      <c r="R14" s="27"/>
    </row>
    <row r="15" spans="1:24" x14ac:dyDescent="0.25">
      <c r="A15" s="39"/>
      <c r="B15" s="27"/>
      <c r="C15" s="27"/>
      <c r="D15" s="27"/>
      <c r="E15" s="27"/>
      <c r="F15" s="49"/>
      <c r="G15" s="27"/>
      <c r="H15" s="27"/>
      <c r="I15" s="27"/>
      <c r="J15" s="27"/>
      <c r="K15" s="27"/>
      <c r="L15" s="27"/>
      <c r="M15" s="27"/>
      <c r="N15" s="27"/>
      <c r="O15" s="27"/>
      <c r="P15" s="27"/>
      <c r="Q15" s="27"/>
      <c r="R15" s="27"/>
    </row>
    <row r="16" spans="1:24" x14ac:dyDescent="0.25">
      <c r="A16" s="39"/>
      <c r="B16" s="27"/>
      <c r="C16" s="27"/>
      <c r="D16" s="27"/>
      <c r="E16" s="27"/>
      <c r="F16" s="49"/>
      <c r="G16" s="49"/>
      <c r="H16" s="27"/>
      <c r="I16" s="27"/>
      <c r="J16" s="27"/>
      <c r="K16" s="27"/>
      <c r="L16" s="27"/>
      <c r="M16" s="27"/>
      <c r="N16" s="27"/>
      <c r="O16" s="27"/>
      <c r="P16" s="27"/>
      <c r="Q16" s="27"/>
      <c r="R16" s="27"/>
    </row>
    <row r="17" spans="1:18" x14ac:dyDescent="0.25">
      <c r="A17" s="39"/>
      <c r="B17" s="27"/>
      <c r="C17" s="27"/>
      <c r="D17" s="27"/>
      <c r="E17" s="27"/>
      <c r="F17" s="27"/>
      <c r="G17" s="27"/>
      <c r="H17" s="49"/>
      <c r="I17" s="27"/>
      <c r="J17" s="27"/>
      <c r="K17" s="27"/>
      <c r="L17" s="27"/>
      <c r="M17" s="27"/>
      <c r="N17" s="27"/>
      <c r="O17" s="27"/>
      <c r="P17" s="27"/>
      <c r="Q17" s="27"/>
      <c r="R17" s="27"/>
    </row>
    <row r="18" spans="1:18" x14ac:dyDescent="0.25">
      <c r="A18" s="39"/>
      <c r="B18" s="27"/>
      <c r="C18" s="27"/>
      <c r="D18" s="27"/>
      <c r="E18" s="27"/>
      <c r="F18" s="27"/>
      <c r="G18" s="27"/>
      <c r="H18" s="27"/>
      <c r="I18" s="49"/>
      <c r="J18" s="27"/>
      <c r="K18" s="27"/>
      <c r="L18" s="27"/>
      <c r="M18" s="27"/>
      <c r="N18" s="27"/>
      <c r="O18" s="27"/>
      <c r="P18" s="27"/>
      <c r="Q18" s="27"/>
      <c r="R18" s="27"/>
    </row>
    <row r="19" spans="1:18" x14ac:dyDescent="0.25">
      <c r="A19" s="39"/>
      <c r="B19" s="27"/>
      <c r="C19" s="27"/>
      <c r="D19" s="27"/>
      <c r="E19" s="27"/>
      <c r="F19" s="27"/>
      <c r="G19" s="27"/>
      <c r="H19" s="27"/>
      <c r="I19" s="27"/>
      <c r="J19" s="49"/>
      <c r="K19" s="27"/>
      <c r="L19" s="27"/>
      <c r="M19" s="27"/>
      <c r="N19" s="27"/>
      <c r="O19" s="27"/>
      <c r="P19" s="27"/>
      <c r="Q19" s="27"/>
      <c r="R19" s="27"/>
    </row>
    <row r="20" spans="1:18" x14ac:dyDescent="0.25">
      <c r="A20" s="39"/>
      <c r="B20" s="27"/>
      <c r="C20" s="27"/>
      <c r="D20" s="27"/>
      <c r="E20" s="27"/>
      <c r="F20" s="27"/>
      <c r="G20" s="27"/>
      <c r="H20" s="27"/>
      <c r="I20" s="27"/>
      <c r="J20" s="49"/>
      <c r="K20" s="49"/>
      <c r="L20" s="27"/>
      <c r="M20" s="27"/>
      <c r="N20" s="27"/>
      <c r="O20" s="27"/>
      <c r="P20" s="27"/>
      <c r="Q20" s="27"/>
      <c r="R20" s="27"/>
    </row>
    <row r="21" spans="1:18" x14ac:dyDescent="0.25">
      <c r="A21" s="39"/>
      <c r="B21" s="27"/>
      <c r="C21" s="27"/>
      <c r="D21" s="27"/>
      <c r="E21" s="27"/>
      <c r="F21" s="27"/>
      <c r="G21" s="27"/>
      <c r="H21" s="27"/>
      <c r="I21" s="27"/>
      <c r="J21" s="27"/>
      <c r="K21" s="49"/>
      <c r="L21" s="27"/>
      <c r="M21" s="27"/>
      <c r="N21" s="27"/>
      <c r="O21" s="27"/>
      <c r="P21" s="27"/>
      <c r="Q21" s="27"/>
      <c r="R21" s="27"/>
    </row>
    <row r="22" spans="1:18" x14ac:dyDescent="0.25">
      <c r="A22" s="39"/>
      <c r="B22" s="27"/>
      <c r="C22" s="27"/>
      <c r="D22" s="27"/>
      <c r="E22" s="27"/>
      <c r="F22" s="27"/>
      <c r="G22" s="27"/>
      <c r="H22" s="27"/>
      <c r="I22" s="27"/>
      <c r="J22" s="27"/>
      <c r="K22" s="49"/>
      <c r="L22" s="49"/>
      <c r="M22" s="27"/>
      <c r="N22" s="27"/>
      <c r="O22" s="27"/>
      <c r="P22" s="27"/>
      <c r="Q22" s="27"/>
      <c r="R22" s="27"/>
    </row>
    <row r="23" spans="1:18" x14ac:dyDescent="0.25">
      <c r="A23" s="39"/>
      <c r="B23" s="27"/>
      <c r="C23" s="27"/>
      <c r="D23" s="27"/>
      <c r="E23" s="27"/>
      <c r="F23" s="27"/>
      <c r="G23" s="27"/>
      <c r="H23" s="27"/>
      <c r="I23" s="27"/>
      <c r="J23" s="27"/>
      <c r="K23" s="27"/>
      <c r="L23" s="27"/>
      <c r="M23" s="49"/>
      <c r="N23" s="27"/>
      <c r="O23" s="27"/>
      <c r="P23" s="27"/>
      <c r="Q23" s="27"/>
      <c r="R23" s="27"/>
    </row>
    <row r="24" spans="1:18" x14ac:dyDescent="0.25">
      <c r="A24" s="39"/>
      <c r="B24" s="27"/>
      <c r="C24" s="27"/>
      <c r="D24" s="27"/>
      <c r="E24" s="27"/>
      <c r="F24" s="27"/>
      <c r="G24" s="27"/>
      <c r="H24" s="27"/>
      <c r="I24" s="27"/>
      <c r="J24" s="27"/>
      <c r="K24" s="27"/>
      <c r="L24" s="27"/>
      <c r="M24" s="49"/>
      <c r="N24" s="27"/>
      <c r="O24" s="27"/>
      <c r="P24" s="27"/>
      <c r="Q24" s="27"/>
      <c r="R24" s="27"/>
    </row>
    <row r="25" spans="1:18" x14ac:dyDescent="0.25">
      <c r="A25" s="39"/>
      <c r="B25" s="27"/>
      <c r="C25" s="27"/>
      <c r="D25" s="27"/>
      <c r="E25" s="27"/>
      <c r="F25" s="27"/>
      <c r="G25" s="27"/>
      <c r="H25" s="27"/>
      <c r="I25" s="27"/>
      <c r="J25" s="27"/>
      <c r="K25" s="27"/>
      <c r="L25" s="27"/>
      <c r="M25" s="27"/>
      <c r="N25" s="49"/>
      <c r="O25" s="27"/>
      <c r="P25" s="27"/>
      <c r="Q25" s="27"/>
      <c r="R25" s="27"/>
    </row>
    <row r="26" spans="1:18" x14ac:dyDescent="0.25">
      <c r="A26" s="39"/>
      <c r="B26" s="27"/>
      <c r="C26" s="27"/>
      <c r="D26" s="27"/>
      <c r="E26" s="27"/>
      <c r="F26" s="27"/>
      <c r="G26" s="27"/>
      <c r="H26" s="27"/>
      <c r="I26" s="27"/>
      <c r="J26" s="27"/>
      <c r="K26" s="49"/>
      <c r="L26" s="49"/>
      <c r="M26" s="27"/>
      <c r="N26" s="27"/>
      <c r="O26" s="27"/>
      <c r="P26" s="27"/>
      <c r="Q26" s="27"/>
      <c r="R26" s="27"/>
    </row>
    <row r="27" spans="1:18" x14ac:dyDescent="0.25">
      <c r="A27" s="39"/>
      <c r="B27" s="27"/>
      <c r="C27" s="27"/>
      <c r="D27" s="27"/>
      <c r="E27" s="27"/>
      <c r="F27" s="27"/>
      <c r="G27" s="27"/>
      <c r="H27" s="27"/>
      <c r="I27" s="27"/>
      <c r="J27" s="27"/>
      <c r="K27" s="27"/>
      <c r="L27" s="27"/>
      <c r="M27" s="49"/>
      <c r="N27" s="49"/>
      <c r="O27" s="27"/>
      <c r="P27" s="27"/>
      <c r="Q27" s="27"/>
      <c r="R27" s="27"/>
    </row>
    <row r="28" spans="1:18" x14ac:dyDescent="0.25">
      <c r="A28" s="39"/>
      <c r="B28" s="27"/>
      <c r="C28" s="27"/>
      <c r="D28" s="27"/>
      <c r="E28" s="27"/>
      <c r="F28" s="27"/>
      <c r="G28" s="27"/>
      <c r="H28" s="27"/>
      <c r="I28" s="27"/>
      <c r="J28" s="27"/>
      <c r="K28" s="27"/>
      <c r="L28" s="27"/>
      <c r="M28" s="27"/>
      <c r="N28" s="49"/>
      <c r="O28" s="49"/>
      <c r="P28" s="27"/>
      <c r="Q28" s="27"/>
      <c r="R28" s="27"/>
    </row>
    <row r="29" spans="1:18" x14ac:dyDescent="0.25">
      <c r="A29" s="39"/>
      <c r="B29" s="27"/>
      <c r="C29" s="27"/>
      <c r="D29" s="27"/>
      <c r="E29" s="27"/>
      <c r="F29" s="27"/>
      <c r="G29" s="27"/>
      <c r="H29" s="27"/>
      <c r="I29" s="27"/>
      <c r="J29" s="27"/>
      <c r="K29" s="27"/>
      <c r="L29" s="27"/>
      <c r="M29" s="27"/>
      <c r="N29" s="27"/>
      <c r="O29" s="49"/>
      <c r="P29" s="27"/>
      <c r="Q29" s="27"/>
      <c r="R29" s="27"/>
    </row>
    <row r="30" spans="1:18" x14ac:dyDescent="0.25">
      <c r="A30" s="36"/>
      <c r="B30" s="50"/>
      <c r="C30" s="50"/>
      <c r="D30" s="50"/>
      <c r="E30" s="50"/>
      <c r="F30" s="50"/>
      <c r="G30" s="50"/>
      <c r="H30" s="50"/>
      <c r="I30" s="50"/>
      <c r="J30" s="50"/>
      <c r="K30" s="50"/>
      <c r="L30" s="50"/>
      <c r="M30" s="50"/>
      <c r="N30" s="50"/>
      <c r="O30" s="50"/>
      <c r="P30" s="27"/>
      <c r="Q30" s="27"/>
      <c r="R30" s="27"/>
    </row>
    <row r="31" spans="1:18" x14ac:dyDescent="0.25">
      <c r="A31" s="36"/>
      <c r="B31" s="50"/>
      <c r="C31" s="50"/>
      <c r="D31" s="50"/>
      <c r="E31" s="50"/>
      <c r="F31" s="50"/>
      <c r="G31" s="50"/>
      <c r="H31" s="50"/>
      <c r="I31" s="50"/>
      <c r="J31" s="50"/>
      <c r="K31" s="50"/>
      <c r="L31" s="50"/>
      <c r="M31" s="50"/>
      <c r="N31" s="50"/>
      <c r="O31" s="50"/>
      <c r="P31" s="27"/>
      <c r="Q31" s="27"/>
      <c r="R31" s="27"/>
    </row>
    <row r="32" spans="1:18" x14ac:dyDescent="0.25">
      <c r="A32" s="27"/>
      <c r="B32" s="27"/>
      <c r="C32" s="27"/>
      <c r="D32" s="27"/>
      <c r="E32" s="27"/>
      <c r="F32" s="27"/>
      <c r="G32" s="27"/>
      <c r="H32" s="27"/>
      <c r="I32" s="27"/>
      <c r="J32" s="27"/>
      <c r="K32" s="27"/>
      <c r="L32" s="27"/>
      <c r="M32" s="27"/>
      <c r="N32" s="27"/>
      <c r="O32" s="27"/>
      <c r="P32" s="27"/>
      <c r="Q32" s="27"/>
      <c r="R32" s="27"/>
    </row>
    <row r="33" spans="1:18" x14ac:dyDescent="0.25">
      <c r="A33" s="42"/>
      <c r="B33" s="27"/>
      <c r="C33" s="27"/>
      <c r="D33" s="27"/>
      <c r="E33" s="27"/>
      <c r="F33" s="27"/>
      <c r="G33" s="27"/>
      <c r="H33" s="27"/>
      <c r="I33" s="27"/>
      <c r="J33" s="27"/>
      <c r="K33" s="27"/>
      <c r="L33" s="27"/>
      <c r="M33" s="27"/>
      <c r="N33" s="27"/>
      <c r="O33" s="27"/>
      <c r="P33" s="27"/>
      <c r="Q33" s="27"/>
      <c r="R33" s="27"/>
    </row>
    <row r="34" spans="1:18" x14ac:dyDescent="0.25">
      <c r="A34" s="27"/>
      <c r="B34" s="32"/>
      <c r="C34" s="27"/>
      <c r="D34" s="27"/>
      <c r="E34" s="27"/>
      <c r="F34" s="27"/>
      <c r="G34" s="27"/>
      <c r="H34" s="27"/>
      <c r="I34" s="27"/>
      <c r="J34" s="27"/>
      <c r="K34" s="27"/>
      <c r="L34" s="27"/>
      <c r="M34" s="27"/>
      <c r="N34" s="27"/>
      <c r="O34" s="27"/>
      <c r="P34" s="27"/>
      <c r="Q34" s="27"/>
      <c r="R34" s="27"/>
    </row>
    <row r="35" spans="1:18" x14ac:dyDescent="0.25">
      <c r="A35" s="27"/>
      <c r="B35" s="32"/>
      <c r="C35" s="27"/>
      <c r="D35" s="27"/>
      <c r="E35" s="27"/>
      <c r="F35" s="27"/>
      <c r="G35" s="27"/>
      <c r="H35" s="27"/>
      <c r="I35" s="27"/>
      <c r="J35" s="27"/>
      <c r="K35" s="27"/>
      <c r="L35" s="27"/>
      <c r="M35" s="27"/>
      <c r="N35" s="27"/>
      <c r="O35" s="27"/>
      <c r="P35" s="27"/>
      <c r="Q35" s="27"/>
      <c r="R35" s="27"/>
    </row>
    <row r="36" spans="1:18" x14ac:dyDescent="0.25">
      <c r="A36" s="43"/>
      <c r="B36" s="32"/>
      <c r="C36" s="27"/>
      <c r="D36" s="27"/>
      <c r="E36" s="27"/>
      <c r="F36" s="27"/>
      <c r="G36" s="27"/>
      <c r="H36" s="27"/>
      <c r="I36" s="27"/>
      <c r="J36" s="27"/>
      <c r="K36" s="27"/>
      <c r="L36" s="27"/>
      <c r="M36" s="27"/>
      <c r="N36" s="27"/>
      <c r="O36" s="27"/>
      <c r="P36" s="27"/>
      <c r="Q36" s="27"/>
      <c r="R36" s="27"/>
    </row>
    <row r="37" spans="1:18" x14ac:dyDescent="0.25">
      <c r="A37" s="27"/>
      <c r="B37" s="32"/>
      <c r="C37" s="27"/>
      <c r="D37" s="27"/>
      <c r="E37" s="27"/>
      <c r="F37" s="27"/>
      <c r="G37" s="27"/>
      <c r="H37" s="27"/>
      <c r="I37" s="27"/>
      <c r="J37" s="27"/>
      <c r="K37" s="27"/>
      <c r="L37" s="27"/>
      <c r="M37" s="27"/>
      <c r="N37" s="27"/>
      <c r="O37" s="27"/>
      <c r="P37" s="27"/>
      <c r="Q37" s="27"/>
      <c r="R37" s="27"/>
    </row>
    <row r="38" spans="1:18" x14ac:dyDescent="0.25">
      <c r="A38" s="27"/>
      <c r="B38" s="27"/>
      <c r="C38" s="27"/>
      <c r="D38" s="27"/>
      <c r="E38" s="27"/>
      <c r="F38" s="27"/>
      <c r="G38" s="27"/>
      <c r="H38" s="27"/>
      <c r="I38" s="27"/>
      <c r="J38" s="27"/>
      <c r="K38" s="27"/>
      <c r="L38" s="27"/>
      <c r="M38" s="27"/>
      <c r="N38" s="27"/>
      <c r="O38" s="27"/>
      <c r="P38" s="27"/>
      <c r="Q38" s="27"/>
      <c r="R38" s="27"/>
    </row>
    <row r="39" spans="1:18" x14ac:dyDescent="0.25">
      <c r="A39" s="27"/>
      <c r="B39" s="27"/>
      <c r="C39" s="27"/>
      <c r="D39" s="27"/>
      <c r="E39" s="27"/>
      <c r="F39" s="27"/>
      <c r="G39" s="27"/>
      <c r="H39" s="27"/>
      <c r="I39" s="27"/>
      <c r="J39" s="27"/>
      <c r="K39" s="27"/>
      <c r="L39" s="27"/>
      <c r="M39" s="27"/>
      <c r="N39" s="27"/>
      <c r="O39" s="27"/>
      <c r="P39" s="27"/>
      <c r="Q39" s="27"/>
      <c r="R39" s="27"/>
    </row>
  </sheetData>
  <pageMargins left="0.7" right="0.7" top="0.75" bottom="0.75" header="0.3" footer="0.3"/>
  <pageSetup paperSize="17" orientation="landscape" verticalDpi="0"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A1:H22"/>
  <sheetViews>
    <sheetView zoomScale="70" zoomScaleNormal="70" workbookViewId="0">
      <pane ySplit="11" topLeftCell="A12" activePane="bottomLeft" state="frozen"/>
      <selection pane="bottomLeft"/>
    </sheetView>
  </sheetViews>
  <sheetFormatPr defaultColWidth="9.140625" defaultRowHeight="15" x14ac:dyDescent="0.25"/>
  <cols>
    <col min="1" max="1" width="44" customWidth="1"/>
    <col min="2" max="2" width="16.28515625" bestFit="1" customWidth="1"/>
    <col min="3" max="3" width="73.28515625" customWidth="1"/>
    <col min="4" max="4" width="86.7109375" customWidth="1"/>
    <col min="5" max="5" width="16.28515625" bestFit="1" customWidth="1"/>
    <col min="6" max="6" width="13" bestFit="1" customWidth="1"/>
  </cols>
  <sheetData>
    <row r="1" spans="1:8" s="55" customFormat="1" ht="21" x14ac:dyDescent="0.25">
      <c r="A1" s="533" t="s">
        <v>291</v>
      </c>
      <c r="B1" s="191"/>
      <c r="C1" s="191"/>
      <c r="D1" s="191"/>
    </row>
    <row r="2" spans="1:8" s="55" customFormat="1" ht="18" customHeight="1" x14ac:dyDescent="0.25">
      <c r="A2" s="532" t="s">
        <v>148</v>
      </c>
      <c r="B2" s="191"/>
      <c r="C2" s="191"/>
      <c r="D2" s="191"/>
    </row>
    <row r="3" spans="1:8" s="55" customFormat="1" ht="16.5" thickBot="1" x14ac:dyDescent="0.3">
      <c r="A3" s="193"/>
      <c r="B3" s="193"/>
      <c r="C3" s="193"/>
      <c r="D3" s="193"/>
    </row>
    <row r="4" spans="1:8" s="55" customFormat="1" ht="53.25" customHeight="1" thickTop="1" thickBot="1" x14ac:dyDescent="0.3">
      <c r="A4" s="656" t="s">
        <v>411</v>
      </c>
      <c r="B4" s="657"/>
      <c r="C4" s="657"/>
      <c r="D4" s="658"/>
    </row>
    <row r="5" spans="1:8" s="55" customFormat="1" ht="16.5" thickTop="1" x14ac:dyDescent="0.25">
      <c r="A5" s="194"/>
      <c r="B5" s="194"/>
      <c r="C5" s="194"/>
      <c r="D5" s="194"/>
    </row>
    <row r="6" spans="1:8" s="55" customFormat="1" ht="18.75" x14ac:dyDescent="0.3">
      <c r="A6" s="528" t="s">
        <v>272</v>
      </c>
      <c r="B6" s="330"/>
      <c r="C6" s="330"/>
      <c r="D6" s="331"/>
    </row>
    <row r="7" spans="1:8" s="55" customFormat="1" ht="132.75" customHeight="1" x14ac:dyDescent="0.25">
      <c r="A7" s="653" t="s">
        <v>511</v>
      </c>
      <c r="B7" s="654"/>
      <c r="C7" s="654"/>
      <c r="D7" s="655"/>
    </row>
    <row r="8" spans="1:8" s="55" customFormat="1" ht="15.75" x14ac:dyDescent="0.25">
      <c r="A8" s="133"/>
      <c r="B8" s="133"/>
      <c r="C8" s="133"/>
      <c r="D8" s="133"/>
      <c r="E8" s="133"/>
      <c r="F8" s="133"/>
      <c r="G8" s="133"/>
      <c r="H8" s="133"/>
    </row>
    <row r="9" spans="1:8" s="55" customFormat="1" ht="15.75" x14ac:dyDescent="0.25">
      <c r="A9" s="547" t="s">
        <v>447</v>
      </c>
      <c r="B9" s="213"/>
      <c r="C9" s="147"/>
      <c r="D9" s="213"/>
      <c r="E9" s="133"/>
      <c r="F9" s="133"/>
      <c r="G9" s="133"/>
      <c r="H9" s="133"/>
    </row>
    <row r="10" spans="1:8" s="55" customFormat="1" ht="15.75" x14ac:dyDescent="0.25">
      <c r="A10" s="211"/>
      <c r="B10" s="212"/>
      <c r="C10" s="207"/>
      <c r="D10" s="212"/>
      <c r="E10" s="133"/>
      <c r="F10" s="133"/>
      <c r="G10" s="133"/>
      <c r="H10" s="133"/>
    </row>
    <row r="11" spans="1:8" s="55" customFormat="1" ht="15.75" x14ac:dyDescent="0.25">
      <c r="A11" s="348" t="s">
        <v>313</v>
      </c>
      <c r="B11" s="349" t="s">
        <v>271</v>
      </c>
      <c r="C11" s="350" t="s">
        <v>293</v>
      </c>
      <c r="D11" s="351" t="s">
        <v>310</v>
      </c>
      <c r="E11" s="133"/>
      <c r="F11" s="133"/>
      <c r="G11" s="133"/>
      <c r="H11" s="133"/>
    </row>
    <row r="12" spans="1:8" s="55" customFormat="1" ht="31.5" x14ac:dyDescent="0.25">
      <c r="A12" s="410" t="s">
        <v>108</v>
      </c>
      <c r="B12" s="392">
        <v>800000000</v>
      </c>
      <c r="C12" s="407" t="s">
        <v>412</v>
      </c>
      <c r="D12" s="408" t="s">
        <v>306</v>
      </c>
      <c r="E12" s="133"/>
      <c r="F12" s="133"/>
      <c r="G12" s="133"/>
      <c r="H12" s="133"/>
    </row>
    <row r="13" spans="1:8" s="55" customFormat="1" ht="16.149999999999999" customHeight="1" x14ac:dyDescent="0.25">
      <c r="A13" s="410" t="s">
        <v>65</v>
      </c>
      <c r="B13" s="411">
        <v>60</v>
      </c>
      <c r="C13" s="408" t="s">
        <v>306</v>
      </c>
      <c r="D13" s="408" t="s">
        <v>306</v>
      </c>
      <c r="E13" s="133"/>
      <c r="F13" s="133"/>
      <c r="G13" s="133"/>
      <c r="H13" s="133"/>
    </row>
    <row r="14" spans="1:8" s="55" customFormat="1" ht="16.149999999999999" customHeight="1" x14ac:dyDescent="0.25">
      <c r="A14" s="412" t="s">
        <v>122</v>
      </c>
      <c r="B14" s="413">
        <v>5</v>
      </c>
      <c r="C14" s="408" t="s">
        <v>306</v>
      </c>
      <c r="D14" s="408" t="s">
        <v>306</v>
      </c>
      <c r="E14" s="133"/>
      <c r="F14" s="133"/>
      <c r="G14" s="133"/>
      <c r="H14" s="133"/>
    </row>
    <row r="15" spans="1:8" s="55" customFormat="1" ht="16.149999999999999" customHeight="1" x14ac:dyDescent="0.25">
      <c r="A15" s="412" t="s">
        <v>123</v>
      </c>
      <c r="B15" s="414">
        <v>52</v>
      </c>
      <c r="C15" s="408" t="s">
        <v>306</v>
      </c>
      <c r="D15" s="408" t="s">
        <v>306</v>
      </c>
      <c r="E15" s="133"/>
      <c r="F15" s="133"/>
      <c r="G15" s="133"/>
      <c r="H15" s="133"/>
    </row>
    <row r="16" spans="1:8" s="55" customFormat="1" ht="16.149999999999999" customHeight="1" x14ac:dyDescent="0.25">
      <c r="A16" s="412" t="s">
        <v>121</v>
      </c>
      <c r="B16" s="415">
        <v>55</v>
      </c>
      <c r="C16" s="409" t="s">
        <v>210</v>
      </c>
      <c r="D16" s="408" t="s">
        <v>306</v>
      </c>
      <c r="E16" s="133"/>
      <c r="F16" s="133"/>
      <c r="G16" s="133"/>
      <c r="H16" s="133"/>
    </row>
    <row r="17" spans="1:8" s="55" customFormat="1" ht="137.25" customHeight="1" x14ac:dyDescent="0.25">
      <c r="A17" s="412" t="s">
        <v>215</v>
      </c>
      <c r="B17" s="414">
        <v>0.5</v>
      </c>
      <c r="C17" s="408" t="s">
        <v>306</v>
      </c>
      <c r="D17" s="408" t="s">
        <v>417</v>
      </c>
      <c r="E17" s="133"/>
      <c r="F17" s="296"/>
      <c r="G17" s="133"/>
      <c r="H17" s="133"/>
    </row>
    <row r="18" spans="1:8" s="55" customFormat="1" ht="197.25" customHeight="1" x14ac:dyDescent="0.25">
      <c r="A18" s="412" t="s">
        <v>112</v>
      </c>
      <c r="B18" s="414">
        <v>0</v>
      </c>
      <c r="C18" s="409" t="s">
        <v>413</v>
      </c>
      <c r="D18" s="408" t="s">
        <v>418</v>
      </c>
      <c r="E18" s="133"/>
      <c r="F18" s="133"/>
      <c r="G18" s="133"/>
      <c r="H18" s="133"/>
    </row>
    <row r="19" spans="1:8" s="55" customFormat="1" ht="63" x14ac:dyDescent="0.25">
      <c r="A19" s="412" t="s">
        <v>111</v>
      </c>
      <c r="B19" s="414">
        <v>0.25</v>
      </c>
      <c r="C19" s="408" t="s">
        <v>306</v>
      </c>
      <c r="D19" s="408" t="s">
        <v>419</v>
      </c>
      <c r="E19" s="133"/>
      <c r="F19" s="133"/>
      <c r="G19" s="133"/>
      <c r="H19" s="133"/>
    </row>
    <row r="20" spans="1:8" s="55" customFormat="1" ht="48.6" customHeight="1" x14ac:dyDescent="0.25">
      <c r="A20" s="404" t="s">
        <v>216</v>
      </c>
      <c r="B20" s="416">
        <v>1.4999999999999999E-4</v>
      </c>
      <c r="C20" s="402" t="s">
        <v>414</v>
      </c>
      <c r="D20" s="408" t="s">
        <v>306</v>
      </c>
      <c r="E20" s="133"/>
      <c r="F20" s="133"/>
      <c r="G20" s="133"/>
      <c r="H20" s="133"/>
    </row>
    <row r="21" spans="1:8" s="55" customFormat="1" ht="48.6" customHeight="1" x14ac:dyDescent="0.25">
      <c r="A21" s="404" t="s">
        <v>217</v>
      </c>
      <c r="B21" s="416">
        <v>2.0000000000000001E-4</v>
      </c>
      <c r="C21" s="402" t="s">
        <v>415</v>
      </c>
      <c r="D21" s="408" t="s">
        <v>306</v>
      </c>
      <c r="E21" s="133"/>
      <c r="F21" s="133"/>
      <c r="G21" s="133"/>
      <c r="H21" s="133"/>
    </row>
    <row r="22" spans="1:8" s="55" customFormat="1" ht="48.6" customHeight="1" x14ac:dyDescent="0.25">
      <c r="A22" s="404" t="s">
        <v>218</v>
      </c>
      <c r="B22" s="416">
        <v>1.4999999999999999E-4</v>
      </c>
      <c r="C22" s="402" t="s">
        <v>416</v>
      </c>
      <c r="D22" s="408" t="s">
        <v>306</v>
      </c>
      <c r="E22" s="133"/>
      <c r="F22" s="133"/>
      <c r="G22" s="133"/>
      <c r="H22" s="133"/>
    </row>
  </sheetData>
  <sheetProtection insertColumns="0" insertRows="0" selectLockedCells="1"/>
  <mergeCells count="2">
    <mergeCell ref="A4:D4"/>
    <mergeCell ref="A7:D7"/>
  </mergeCells>
  <pageMargins left="0.7" right="0.7" top="0.75" bottom="0.75" header="0.3" footer="0.3"/>
  <pageSetup paperSize="17" scale="90" fitToWidth="0" fitToHeight="0" orientation="landscape" verticalDpi="1200" r:id="rId1"/>
  <tableParts count="1">
    <tablePart r:id="rId2"/>
  </tablePart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A1:Q17"/>
  <sheetViews>
    <sheetView zoomScale="70" zoomScaleNormal="70" workbookViewId="0">
      <pane ySplit="11" topLeftCell="A12" activePane="bottomLeft" state="frozen"/>
      <selection pane="bottomLeft" activeCell="D18" sqref="D18"/>
    </sheetView>
  </sheetViews>
  <sheetFormatPr defaultRowHeight="15" x14ac:dyDescent="0.25"/>
  <cols>
    <col min="1" max="1" width="57.85546875" customWidth="1"/>
    <col min="2" max="2" width="54.7109375" customWidth="1"/>
    <col min="3" max="3" width="27" customWidth="1"/>
    <col min="4" max="10" width="15.140625" customWidth="1"/>
  </cols>
  <sheetData>
    <row r="1" spans="1:17" ht="21" x14ac:dyDescent="0.25">
      <c r="A1" s="533" t="s">
        <v>291</v>
      </c>
      <c r="B1" s="191"/>
      <c r="C1" s="191"/>
      <c r="D1" s="191"/>
      <c r="E1" s="191"/>
      <c r="F1" s="191"/>
      <c r="G1" s="191"/>
      <c r="H1" s="191"/>
      <c r="I1" s="191"/>
      <c r="J1" s="191"/>
    </row>
    <row r="2" spans="1:17" ht="18.75" x14ac:dyDescent="0.25">
      <c r="A2" s="532" t="s">
        <v>148</v>
      </c>
      <c r="B2" s="191"/>
      <c r="C2" s="191"/>
      <c r="D2" s="191"/>
      <c r="E2" s="191"/>
      <c r="F2" s="191"/>
      <c r="G2" s="191"/>
      <c r="H2" s="191"/>
      <c r="I2" s="191"/>
      <c r="J2" s="191"/>
    </row>
    <row r="3" spans="1:17" ht="16.5" thickBot="1" x14ac:dyDescent="0.3">
      <c r="A3" s="193"/>
      <c r="B3" s="193"/>
      <c r="C3" s="193"/>
      <c r="D3" s="193"/>
      <c r="E3" s="193"/>
      <c r="F3" s="193"/>
      <c r="G3" s="193"/>
      <c r="H3" s="193"/>
      <c r="I3" s="193"/>
      <c r="J3" s="193"/>
    </row>
    <row r="4" spans="1:17" ht="54.6" customHeight="1" thickTop="1" thickBot="1" x14ac:dyDescent="0.3">
      <c r="A4" s="656" t="s">
        <v>411</v>
      </c>
      <c r="B4" s="657"/>
      <c r="C4" s="657"/>
      <c r="D4" s="657"/>
      <c r="E4" s="657"/>
      <c r="F4" s="657"/>
      <c r="G4" s="657"/>
      <c r="H4" s="657"/>
      <c r="I4" s="657"/>
      <c r="J4" s="658"/>
    </row>
    <row r="5" spans="1:17" ht="15.75" thickTop="1" x14ac:dyDescent="0.25"/>
    <row r="6" spans="1:17" ht="18.75" x14ac:dyDescent="0.3">
      <c r="A6" s="528" t="s">
        <v>272</v>
      </c>
      <c r="B6" s="317"/>
      <c r="C6" s="317"/>
      <c r="D6" s="317"/>
      <c r="E6" s="317"/>
      <c r="F6" s="673"/>
      <c r="G6" s="673"/>
      <c r="H6" s="673"/>
      <c r="I6" s="673"/>
      <c r="J6" s="673"/>
    </row>
    <row r="7" spans="1:17" ht="134.25" customHeight="1" x14ac:dyDescent="0.25">
      <c r="A7" s="653" t="s">
        <v>512</v>
      </c>
      <c r="B7" s="654"/>
      <c r="C7" s="654"/>
      <c r="D7" s="654"/>
      <c r="E7" s="654"/>
      <c r="F7" s="654"/>
      <c r="G7" s="654"/>
      <c r="H7" s="654"/>
      <c r="I7" s="654"/>
      <c r="J7" s="655"/>
    </row>
    <row r="9" spans="1:17" s="117" customFormat="1" ht="15.75" x14ac:dyDescent="0.25">
      <c r="A9" s="548" t="s">
        <v>518</v>
      </c>
      <c r="B9" s="147"/>
      <c r="C9" s="147"/>
      <c r="D9" s="147"/>
      <c r="E9" s="147"/>
      <c r="F9" s="147"/>
      <c r="G9" s="147"/>
      <c r="H9" s="147"/>
      <c r="I9" s="147"/>
      <c r="J9" s="147"/>
      <c r="K9" s="57"/>
      <c r="L9" s="57"/>
      <c r="M9" s="57"/>
      <c r="N9" s="57"/>
      <c r="O9" s="57"/>
      <c r="P9" s="57"/>
      <c r="Q9" s="57"/>
    </row>
    <row r="10" spans="1:17" s="117" customFormat="1" ht="15.75" x14ac:dyDescent="0.25">
      <c r="A10" s="214"/>
      <c r="B10" s="147"/>
      <c r="C10" s="147"/>
      <c r="D10" s="147"/>
      <c r="E10" s="147"/>
      <c r="F10" s="147"/>
      <c r="G10" s="147"/>
      <c r="H10" s="147"/>
      <c r="I10" s="147"/>
      <c r="J10" s="147"/>
      <c r="K10" s="57"/>
      <c r="L10" s="57"/>
      <c r="M10" s="57"/>
      <c r="N10" s="57"/>
      <c r="O10" s="57"/>
      <c r="P10" s="57"/>
      <c r="Q10" s="57"/>
    </row>
    <row r="11" spans="1:17" s="55" customFormat="1" ht="47.25" x14ac:dyDescent="0.25">
      <c r="A11" s="357" t="s">
        <v>311</v>
      </c>
      <c r="B11" s="357" t="s">
        <v>312</v>
      </c>
      <c r="C11" s="367" t="s">
        <v>264</v>
      </c>
      <c r="D11" s="354" t="s">
        <v>315</v>
      </c>
      <c r="E11" s="346" t="s">
        <v>316</v>
      </c>
      <c r="F11" s="346" t="s">
        <v>317</v>
      </c>
      <c r="G11" s="346" t="s">
        <v>318</v>
      </c>
      <c r="H11" s="346" t="s">
        <v>319</v>
      </c>
      <c r="I11" s="346" t="s">
        <v>320</v>
      </c>
      <c r="J11" s="347" t="s">
        <v>321</v>
      </c>
      <c r="K11" s="61"/>
      <c r="L11" s="61"/>
      <c r="M11" s="61"/>
      <c r="N11" s="61"/>
      <c r="O11" s="61"/>
    </row>
    <row r="12" spans="1:17" s="55" customFormat="1" ht="49.15" customHeight="1" x14ac:dyDescent="0.25">
      <c r="A12" s="404" t="s">
        <v>459</v>
      </c>
      <c r="B12" s="402" t="s">
        <v>420</v>
      </c>
      <c r="C12" s="401">
        <f>'Mobile - Inputs 1'!B17*'Mobile - Inputs 1'!B14*'Mobile - Inputs 1'!B15*'Mobile - Inputs 1'!B16*'Mobile - Inputs 1'!B13</f>
        <v>429000</v>
      </c>
      <c r="D12" s="398">
        <v>0</v>
      </c>
      <c r="E12" s="398">
        <v>0.5</v>
      </c>
      <c r="F12" s="398">
        <v>0.75</v>
      </c>
      <c r="G12" s="398">
        <v>1</v>
      </c>
      <c r="H12" s="398">
        <v>1</v>
      </c>
      <c r="I12" s="398">
        <v>1</v>
      </c>
      <c r="J12" s="398">
        <v>1</v>
      </c>
      <c r="K12" s="61"/>
      <c r="L12" s="61"/>
      <c r="M12" s="61"/>
      <c r="N12" s="61"/>
      <c r="O12" s="61"/>
    </row>
    <row r="13" spans="1:17" s="55" customFormat="1" ht="49.15" customHeight="1" x14ac:dyDescent="0.25">
      <c r="A13" s="404" t="s">
        <v>66</v>
      </c>
      <c r="B13" s="403" t="s">
        <v>421</v>
      </c>
      <c r="C13" s="401">
        <f>'Mobile - Inputs 1'!B18*'Mobile - Inputs 1'!B14*'Mobile - Inputs 1'!B15*'Mobile - Inputs 1'!B16*'Mobile - Inputs 1'!B13</f>
        <v>0</v>
      </c>
      <c r="D13" s="398">
        <v>0</v>
      </c>
      <c r="E13" s="398">
        <v>0.5</v>
      </c>
      <c r="F13" s="398">
        <v>0.75</v>
      </c>
      <c r="G13" s="398">
        <v>1</v>
      </c>
      <c r="H13" s="398">
        <v>1</v>
      </c>
      <c r="I13" s="398">
        <v>1</v>
      </c>
      <c r="J13" s="398">
        <v>1</v>
      </c>
      <c r="K13" s="61"/>
      <c r="L13" s="61"/>
      <c r="M13" s="61"/>
      <c r="N13" s="61"/>
      <c r="O13" s="61"/>
    </row>
    <row r="14" spans="1:17" s="55" customFormat="1" ht="49.15" customHeight="1" x14ac:dyDescent="0.25">
      <c r="A14" s="404" t="s">
        <v>67</v>
      </c>
      <c r="B14" s="402" t="s">
        <v>422</v>
      </c>
      <c r="C14" s="388">
        <f>'Mobile - Inputs 1'!B19*'Mobile - Inputs 1'!B14*'Mobile - Inputs 1'!B15*'Mobile - Inputs 1'!B16*'Mobile - Inputs 1'!B13</f>
        <v>214500</v>
      </c>
      <c r="D14" s="398">
        <v>0</v>
      </c>
      <c r="E14" s="398">
        <v>0.5</v>
      </c>
      <c r="F14" s="398">
        <v>0.75</v>
      </c>
      <c r="G14" s="400">
        <v>1</v>
      </c>
      <c r="H14" s="398">
        <v>1</v>
      </c>
      <c r="I14" s="398">
        <v>1</v>
      </c>
      <c r="J14" s="398">
        <v>1</v>
      </c>
      <c r="K14" s="61"/>
      <c r="L14" s="61"/>
      <c r="M14" s="61"/>
      <c r="N14" s="61"/>
      <c r="O14" s="61"/>
    </row>
    <row r="15" spans="1:17" s="55" customFormat="1" ht="49.15" customHeight="1" x14ac:dyDescent="0.25">
      <c r="A15" s="404" t="s">
        <v>82</v>
      </c>
      <c r="B15" s="403" t="s">
        <v>423</v>
      </c>
      <c r="C15" s="401">
        <f>'Mobile - Inputs 1'!B12*'Mobile - Inputs 1'!B20</f>
        <v>119999.99999999999</v>
      </c>
      <c r="D15" s="398">
        <v>0</v>
      </c>
      <c r="E15" s="398">
        <v>0.5</v>
      </c>
      <c r="F15" s="398">
        <v>0.75</v>
      </c>
      <c r="G15" s="400">
        <v>1</v>
      </c>
      <c r="H15" s="398">
        <v>1</v>
      </c>
      <c r="I15" s="398">
        <v>1</v>
      </c>
      <c r="J15" s="398">
        <v>1</v>
      </c>
      <c r="K15" s="61"/>
      <c r="L15" s="61"/>
      <c r="M15" s="61"/>
      <c r="N15" s="61"/>
      <c r="O15" s="61"/>
    </row>
    <row r="16" spans="1:17" s="55" customFormat="1" ht="49.15" customHeight="1" x14ac:dyDescent="0.25">
      <c r="A16" s="404" t="s">
        <v>83</v>
      </c>
      <c r="B16" s="403" t="s">
        <v>424</v>
      </c>
      <c r="C16" s="401">
        <f>'Mobile - Inputs 1'!B12*'Mobile - Inputs 1'!B21</f>
        <v>160000</v>
      </c>
      <c r="D16" s="398">
        <v>0</v>
      </c>
      <c r="E16" s="398">
        <v>0.5</v>
      </c>
      <c r="F16" s="398">
        <v>0.75</v>
      </c>
      <c r="G16" s="400">
        <v>1</v>
      </c>
      <c r="H16" s="398">
        <v>1</v>
      </c>
      <c r="I16" s="398">
        <v>1</v>
      </c>
      <c r="J16" s="398">
        <v>1</v>
      </c>
      <c r="K16" s="61"/>
      <c r="L16" s="61"/>
      <c r="M16" s="61"/>
      <c r="N16" s="61"/>
      <c r="O16" s="61"/>
    </row>
    <row r="17" spans="1:15" s="55" customFormat="1" ht="49.15" customHeight="1" x14ac:dyDescent="0.25">
      <c r="A17" s="404" t="s">
        <v>84</v>
      </c>
      <c r="B17" s="403" t="s">
        <v>425</v>
      </c>
      <c r="C17" s="401">
        <f>'Mobile - Inputs 1'!B12*'Mobile - Inputs 1'!B22</f>
        <v>119999.99999999999</v>
      </c>
      <c r="D17" s="398">
        <v>0</v>
      </c>
      <c r="E17" s="398">
        <v>0.5</v>
      </c>
      <c r="F17" s="398">
        <v>0.75</v>
      </c>
      <c r="G17" s="400">
        <v>1</v>
      </c>
      <c r="H17" s="398">
        <v>1</v>
      </c>
      <c r="I17" s="398">
        <v>1</v>
      </c>
      <c r="J17" s="398">
        <v>1</v>
      </c>
      <c r="K17" s="20"/>
      <c r="L17" s="20"/>
      <c r="M17" s="20"/>
      <c r="N17" s="20"/>
      <c r="O17" s="20"/>
    </row>
  </sheetData>
  <mergeCells count="3">
    <mergeCell ref="A4:J4"/>
    <mergeCell ref="F6:J6"/>
    <mergeCell ref="A7:J7"/>
  </mergeCells>
  <pageMargins left="0.7" right="0.7" top="0.75" bottom="0.75" header="0.3" footer="0.3"/>
  <pageSetup paperSize="17" scale="80" orientation="landscape" verticalDpi="0" r:id="rId1"/>
  <tableParts count="1">
    <tablePart r:id="rId2"/>
  </tablePart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A1:G17"/>
  <sheetViews>
    <sheetView zoomScale="70" zoomScaleNormal="70" workbookViewId="0">
      <pane ySplit="11" topLeftCell="A12" activePane="bottomLeft" state="frozen"/>
      <selection pane="bottomLeft" activeCell="M13" sqref="M13"/>
    </sheetView>
  </sheetViews>
  <sheetFormatPr defaultRowHeight="15" x14ac:dyDescent="0.25"/>
  <cols>
    <col min="1" max="1" width="44" customWidth="1"/>
    <col min="2" max="2" width="24.85546875" customWidth="1"/>
    <col min="3" max="3" width="11.85546875" customWidth="1"/>
    <col min="4" max="4" width="20.140625" customWidth="1"/>
    <col min="5" max="5" width="22.85546875" customWidth="1"/>
    <col min="6" max="6" width="46.42578125" customWidth="1"/>
  </cols>
  <sheetData>
    <row r="1" spans="1:7" ht="21" x14ac:dyDescent="0.25">
      <c r="A1" s="533" t="s">
        <v>291</v>
      </c>
      <c r="B1" s="191"/>
      <c r="C1" s="191"/>
      <c r="D1" s="191"/>
      <c r="E1" s="191"/>
      <c r="F1" s="191"/>
    </row>
    <row r="2" spans="1:7" ht="18.75" x14ac:dyDescent="0.25">
      <c r="A2" s="532" t="s">
        <v>148</v>
      </c>
      <c r="B2" s="191"/>
      <c r="C2" s="191"/>
      <c r="D2" s="191"/>
      <c r="E2" s="191"/>
      <c r="F2" s="191"/>
    </row>
    <row r="3" spans="1:7" ht="16.5" thickBot="1" x14ac:dyDescent="0.3">
      <c r="A3" s="193"/>
      <c r="B3" s="193"/>
      <c r="C3" s="193"/>
      <c r="D3" s="193"/>
      <c r="E3" s="193"/>
      <c r="F3" s="193"/>
    </row>
    <row r="4" spans="1:7" ht="69" customHeight="1" thickTop="1" thickBot="1" x14ac:dyDescent="0.3">
      <c r="A4" s="656" t="s">
        <v>411</v>
      </c>
      <c r="B4" s="657"/>
      <c r="C4" s="657"/>
      <c r="D4" s="657"/>
      <c r="E4" s="657"/>
      <c r="F4" s="658"/>
    </row>
    <row r="5" spans="1:7" ht="15.75" thickTop="1" x14ac:dyDescent="0.25"/>
    <row r="6" spans="1:7" s="55" customFormat="1" ht="18.75" x14ac:dyDescent="0.25">
      <c r="A6" s="534" t="s">
        <v>60</v>
      </c>
      <c r="B6" s="318"/>
      <c r="C6" s="318"/>
      <c r="D6" s="318"/>
      <c r="E6" s="318"/>
      <c r="F6" s="319"/>
    </row>
    <row r="7" spans="1:7" s="55" customFormat="1" ht="180.75" customHeight="1" x14ac:dyDescent="0.25">
      <c r="A7" s="653" t="s">
        <v>513</v>
      </c>
      <c r="B7" s="654"/>
      <c r="C7" s="654"/>
      <c r="D7" s="654"/>
      <c r="E7" s="654"/>
      <c r="F7" s="655"/>
    </row>
    <row r="8" spans="1:7" s="55" customFormat="1" ht="15.75" x14ac:dyDescent="0.25">
      <c r="A8" s="205"/>
      <c r="B8" s="205"/>
      <c r="C8" s="205"/>
      <c r="D8" s="205"/>
      <c r="E8" s="205"/>
      <c r="F8" s="205"/>
    </row>
    <row r="9" spans="1:7" s="55" customFormat="1" ht="15.75" x14ac:dyDescent="0.25">
      <c r="A9" s="549" t="s">
        <v>519</v>
      </c>
      <c r="B9" s="205"/>
      <c r="C9" s="205"/>
      <c r="D9" s="205"/>
      <c r="E9" s="205"/>
      <c r="F9" s="205"/>
      <c r="G9" s="145"/>
    </row>
    <row r="10" spans="1:7" s="55" customFormat="1" ht="15.75" x14ac:dyDescent="0.25">
      <c r="A10" s="151"/>
      <c r="B10" s="151"/>
      <c r="C10" s="151"/>
      <c r="D10" s="151"/>
      <c r="E10" s="151"/>
      <c r="F10" s="151"/>
    </row>
    <row r="11" spans="1:7" s="249" customFormat="1" ht="15.75" x14ac:dyDescent="0.25">
      <c r="A11" s="156" t="s">
        <v>295</v>
      </c>
      <c r="B11" s="141" t="s">
        <v>296</v>
      </c>
      <c r="C11" s="141" t="s">
        <v>297</v>
      </c>
      <c r="D11" s="141" t="s">
        <v>298</v>
      </c>
      <c r="E11" s="141" t="s">
        <v>299</v>
      </c>
      <c r="F11" s="353" t="s">
        <v>280</v>
      </c>
    </row>
    <row r="12" spans="1:7" s="55" customFormat="1" ht="15.75" x14ac:dyDescent="0.25">
      <c r="A12" s="396" t="s">
        <v>220</v>
      </c>
      <c r="B12" s="381">
        <f>9/12</f>
        <v>0.75</v>
      </c>
      <c r="C12" s="397">
        <f>1/5</f>
        <v>0.2</v>
      </c>
      <c r="D12" s="392">
        <v>75000</v>
      </c>
      <c r="E12" s="398">
        <v>0.8</v>
      </c>
      <c r="F12" s="388">
        <f>C12*D12*(1+E12)</f>
        <v>27000</v>
      </c>
    </row>
    <row r="13" spans="1:7" s="55" customFormat="1" ht="15.75" x14ac:dyDescent="0.25">
      <c r="A13" s="396" t="s">
        <v>221</v>
      </c>
      <c r="B13" s="381">
        <f>9/12</f>
        <v>0.75</v>
      </c>
      <c r="C13" s="397">
        <f>0.1</f>
        <v>0.1</v>
      </c>
      <c r="D13" s="392">
        <v>75000</v>
      </c>
      <c r="E13" s="398">
        <v>0.8</v>
      </c>
      <c r="F13" s="388">
        <f>C13*D13*(1+E13)</f>
        <v>13500</v>
      </c>
    </row>
    <row r="14" spans="1:7" s="55" customFormat="1" ht="31.5" x14ac:dyDescent="0.25">
      <c r="A14" s="396" t="s">
        <v>68</v>
      </c>
      <c r="B14" s="381">
        <f>9/12</f>
        <v>0.75</v>
      </c>
      <c r="C14" s="397">
        <f>4/10</f>
        <v>0.4</v>
      </c>
      <c r="D14" s="392">
        <v>75000</v>
      </c>
      <c r="E14" s="398">
        <v>0.8</v>
      </c>
      <c r="F14" s="388">
        <f>C14*D14*(1+E14)</f>
        <v>54000</v>
      </c>
    </row>
    <row r="15" spans="1:7" s="55" customFormat="1" ht="31.5" x14ac:dyDescent="0.25">
      <c r="A15" s="396" t="s">
        <v>219</v>
      </c>
      <c r="B15" s="381">
        <v>1</v>
      </c>
      <c r="C15" s="397">
        <v>0.4</v>
      </c>
      <c r="D15" s="392">
        <v>60000</v>
      </c>
      <c r="E15" s="398">
        <v>0.8</v>
      </c>
      <c r="F15" s="388">
        <f>C15*D15*(1+E15)</f>
        <v>43200</v>
      </c>
    </row>
    <row r="16" spans="1:7" s="55" customFormat="1" ht="15.75" x14ac:dyDescent="0.25">
      <c r="A16" s="396" t="s">
        <v>152</v>
      </c>
      <c r="B16" s="396" t="s">
        <v>306</v>
      </c>
      <c r="C16" s="396" t="s">
        <v>306</v>
      </c>
      <c r="D16" s="396" t="s">
        <v>306</v>
      </c>
      <c r="E16" s="396" t="s">
        <v>306</v>
      </c>
      <c r="F16" s="388">
        <f>SUM(F12:F14)</f>
        <v>94500</v>
      </c>
    </row>
    <row r="17" spans="1:6" s="55" customFormat="1" ht="15.75" x14ac:dyDescent="0.25">
      <c r="A17" s="396" t="s">
        <v>153</v>
      </c>
      <c r="B17" s="396" t="s">
        <v>306</v>
      </c>
      <c r="C17" s="396" t="s">
        <v>306</v>
      </c>
      <c r="D17" s="396" t="s">
        <v>306</v>
      </c>
      <c r="E17" s="396" t="s">
        <v>306</v>
      </c>
      <c r="F17" s="388">
        <f>F15</f>
        <v>43200</v>
      </c>
    </row>
  </sheetData>
  <mergeCells count="2">
    <mergeCell ref="A4:F4"/>
    <mergeCell ref="A7:F7"/>
  </mergeCells>
  <pageMargins left="0.7" right="0.7" top="0.75" bottom="0.75" header="0.3" footer="0.3"/>
  <pageSetup paperSize="17" orientation="landscape" verticalDpi="0" r:id="rId1"/>
  <tableParts count="1">
    <tablePart r:id="rId2"/>
  </tablePart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A1:S25"/>
  <sheetViews>
    <sheetView zoomScale="70" zoomScaleNormal="70" workbookViewId="0">
      <pane ySplit="11" topLeftCell="A12" activePane="bottomLeft" state="frozen"/>
      <selection pane="bottomLeft"/>
    </sheetView>
  </sheetViews>
  <sheetFormatPr defaultRowHeight="15" x14ac:dyDescent="0.25"/>
  <cols>
    <col min="1" max="1" width="35" customWidth="1"/>
    <col min="2" max="2" width="73.140625" customWidth="1"/>
    <col min="3" max="10" width="19.28515625" customWidth="1"/>
  </cols>
  <sheetData>
    <row r="1" spans="1:19" ht="21" x14ac:dyDescent="0.25">
      <c r="A1" s="533" t="s">
        <v>291</v>
      </c>
      <c r="B1" s="191"/>
      <c r="C1" s="191"/>
      <c r="D1" s="191"/>
      <c r="E1" s="191"/>
      <c r="F1" s="191"/>
      <c r="G1" s="191"/>
      <c r="H1" s="191"/>
      <c r="I1" s="191"/>
      <c r="J1" s="191"/>
    </row>
    <row r="2" spans="1:19" ht="18.75" x14ac:dyDescent="0.25">
      <c r="A2" s="532" t="s">
        <v>148</v>
      </c>
      <c r="B2" s="191"/>
      <c r="C2" s="191"/>
      <c r="D2" s="191"/>
      <c r="E2" s="191"/>
      <c r="F2" s="191"/>
      <c r="G2" s="191"/>
      <c r="H2" s="191"/>
      <c r="I2" s="191"/>
      <c r="J2" s="191"/>
    </row>
    <row r="3" spans="1:19" ht="16.5" thickBot="1" x14ac:dyDescent="0.3">
      <c r="A3" s="193"/>
      <c r="B3" s="193"/>
      <c r="C3" s="193"/>
      <c r="D3" s="193"/>
      <c r="E3" s="193"/>
      <c r="F3" s="193"/>
      <c r="G3" s="193"/>
      <c r="H3" s="193"/>
      <c r="I3" s="193"/>
      <c r="J3" s="193"/>
    </row>
    <row r="4" spans="1:19" ht="71.45" customHeight="1" thickTop="1" thickBot="1" x14ac:dyDescent="0.3">
      <c r="A4" s="656" t="s">
        <v>411</v>
      </c>
      <c r="B4" s="657"/>
      <c r="C4" s="657"/>
      <c r="D4" s="657"/>
      <c r="E4" s="657"/>
      <c r="F4" s="657"/>
      <c r="G4" s="657"/>
      <c r="H4" s="657"/>
      <c r="I4" s="657"/>
      <c r="J4" s="658"/>
    </row>
    <row r="5" spans="1:19" ht="15.75" thickTop="1" x14ac:dyDescent="0.25"/>
    <row r="6" spans="1:19" ht="18.75" x14ac:dyDescent="0.25">
      <c r="A6" s="534" t="s">
        <v>60</v>
      </c>
      <c r="B6" s="220"/>
      <c r="C6" s="220"/>
      <c r="D6" s="220"/>
      <c r="E6" s="220"/>
      <c r="F6" s="220"/>
      <c r="G6" s="220"/>
      <c r="H6" s="220"/>
      <c r="I6" s="220"/>
      <c r="J6" s="220"/>
    </row>
    <row r="7" spans="1:19" ht="67.5" customHeight="1" x14ac:dyDescent="0.25">
      <c r="A7" s="653" t="s">
        <v>514</v>
      </c>
      <c r="B7" s="654"/>
      <c r="C7" s="654"/>
      <c r="D7" s="654"/>
      <c r="E7" s="654"/>
      <c r="F7" s="654"/>
      <c r="G7" s="654"/>
      <c r="H7" s="654"/>
      <c r="I7" s="654"/>
      <c r="J7" s="655"/>
    </row>
    <row r="9" spans="1:19" s="117" customFormat="1" ht="15.75" x14ac:dyDescent="0.25">
      <c r="A9" s="550" t="s">
        <v>458</v>
      </c>
      <c r="B9" s="206"/>
      <c r="C9" s="206"/>
      <c r="D9" s="206"/>
      <c r="E9" s="80"/>
      <c r="F9" s="80"/>
      <c r="G9" s="80"/>
      <c r="H9" s="80"/>
      <c r="I9" s="80"/>
      <c r="J9" s="80"/>
    </row>
    <row r="10" spans="1:19" s="55" customFormat="1" ht="15.75" x14ac:dyDescent="0.25">
      <c r="A10" s="191"/>
      <c r="B10" s="206"/>
      <c r="C10" s="206"/>
      <c r="D10" s="206"/>
      <c r="E10" s="80"/>
      <c r="F10" s="80"/>
      <c r="G10" s="80"/>
      <c r="H10" s="80"/>
      <c r="I10" s="80"/>
      <c r="J10" s="80"/>
    </row>
    <row r="11" spans="1:19" s="55" customFormat="1" ht="31.5" x14ac:dyDescent="0.25">
      <c r="A11" s="348" t="s">
        <v>294</v>
      </c>
      <c r="B11" s="350" t="s">
        <v>293</v>
      </c>
      <c r="C11" s="349" t="s">
        <v>273</v>
      </c>
      <c r="D11" s="349" t="s">
        <v>283</v>
      </c>
      <c r="E11" s="349" t="s">
        <v>284</v>
      </c>
      <c r="F11" s="349" t="s">
        <v>285</v>
      </c>
      <c r="G11" s="349" t="s">
        <v>286</v>
      </c>
      <c r="H11" s="349" t="s">
        <v>462</v>
      </c>
      <c r="I11" s="349" t="s">
        <v>287</v>
      </c>
      <c r="J11" s="358" t="s">
        <v>288</v>
      </c>
      <c r="L11" s="172"/>
      <c r="M11" s="172"/>
      <c r="N11" s="172"/>
      <c r="O11" s="172"/>
      <c r="R11" s="172"/>
      <c r="S11" s="172"/>
    </row>
    <row r="12" spans="1:19" s="55" customFormat="1" ht="47.25" x14ac:dyDescent="0.25">
      <c r="A12" s="404" t="s">
        <v>85</v>
      </c>
      <c r="B12" s="402" t="s">
        <v>426</v>
      </c>
      <c r="C12" s="391">
        <f t="shared" ref="C12:C25" si="0">SUM(D12:J12)</f>
        <v>100000</v>
      </c>
      <c r="D12" s="392">
        <v>100000</v>
      </c>
      <c r="E12" s="392">
        <v>0</v>
      </c>
      <c r="F12" s="392">
        <v>0</v>
      </c>
      <c r="G12" s="392">
        <v>0</v>
      </c>
      <c r="H12" s="392">
        <v>0</v>
      </c>
      <c r="I12" s="392">
        <v>0</v>
      </c>
      <c r="J12" s="392">
        <v>0</v>
      </c>
      <c r="L12" s="20"/>
      <c r="M12" s="20"/>
      <c r="N12" s="20"/>
      <c r="O12" s="20"/>
      <c r="R12" s="20"/>
      <c r="S12" s="20"/>
    </row>
    <row r="13" spans="1:19" s="55" customFormat="1" ht="47.25" x14ac:dyDescent="0.25">
      <c r="A13" s="404" t="s">
        <v>222</v>
      </c>
      <c r="B13" s="402" t="s">
        <v>427</v>
      </c>
      <c r="C13" s="391">
        <f t="shared" si="0"/>
        <v>15000</v>
      </c>
      <c r="D13" s="392">
        <v>15000</v>
      </c>
      <c r="E13" s="392">
        <v>0</v>
      </c>
      <c r="F13" s="392">
        <v>0</v>
      </c>
      <c r="G13" s="392">
        <v>0</v>
      </c>
      <c r="H13" s="392">
        <v>0</v>
      </c>
      <c r="I13" s="392">
        <v>0</v>
      </c>
      <c r="J13" s="392">
        <v>0</v>
      </c>
      <c r="L13" s="20"/>
      <c r="M13" s="20"/>
      <c r="N13" s="20"/>
      <c r="O13" s="20"/>
      <c r="R13" s="20"/>
      <c r="S13" s="20"/>
    </row>
    <row r="14" spans="1:19" s="55" customFormat="1" ht="47.25" x14ac:dyDescent="0.25">
      <c r="A14" s="404" t="s">
        <v>223</v>
      </c>
      <c r="B14" s="402" t="s">
        <v>428</v>
      </c>
      <c r="C14" s="391">
        <f t="shared" si="0"/>
        <v>25000</v>
      </c>
      <c r="D14" s="392">
        <v>25000</v>
      </c>
      <c r="E14" s="392">
        <v>0</v>
      </c>
      <c r="F14" s="392">
        <v>0</v>
      </c>
      <c r="G14" s="392">
        <v>0</v>
      </c>
      <c r="H14" s="392">
        <v>0</v>
      </c>
      <c r="I14" s="392">
        <v>0</v>
      </c>
      <c r="J14" s="392">
        <v>0</v>
      </c>
      <c r="L14" s="20"/>
      <c r="M14" s="20"/>
      <c r="N14" s="20"/>
      <c r="O14" s="20"/>
      <c r="R14" s="20"/>
      <c r="S14" s="20"/>
    </row>
    <row r="15" spans="1:19" s="55" customFormat="1" ht="47.25" x14ac:dyDescent="0.25">
      <c r="A15" s="404" t="s">
        <v>224</v>
      </c>
      <c r="B15" s="402" t="s">
        <v>429</v>
      </c>
      <c r="C15" s="391">
        <f t="shared" si="0"/>
        <v>50000</v>
      </c>
      <c r="D15" s="392">
        <v>50000</v>
      </c>
      <c r="E15" s="392">
        <v>0</v>
      </c>
      <c r="F15" s="392">
        <v>0</v>
      </c>
      <c r="G15" s="392">
        <v>0</v>
      </c>
      <c r="H15" s="392">
        <v>0</v>
      </c>
      <c r="I15" s="392">
        <v>0</v>
      </c>
      <c r="J15" s="392">
        <v>0</v>
      </c>
      <c r="L15" s="20"/>
      <c r="M15" s="20"/>
      <c r="N15" s="20"/>
      <c r="O15" s="20"/>
      <c r="R15" s="20"/>
      <c r="S15" s="20"/>
    </row>
    <row r="16" spans="1:19" s="55" customFormat="1" ht="31.5" x14ac:dyDescent="0.25">
      <c r="A16" s="405" t="s">
        <v>51</v>
      </c>
      <c r="B16" s="402" t="s">
        <v>430</v>
      </c>
      <c r="C16" s="391">
        <f t="shared" si="0"/>
        <v>504000</v>
      </c>
      <c r="D16" s="392">
        <f>400*180</f>
        <v>72000</v>
      </c>
      <c r="E16" s="392">
        <f t="shared" ref="E16:J16" si="1">D16</f>
        <v>72000</v>
      </c>
      <c r="F16" s="392">
        <f t="shared" si="1"/>
        <v>72000</v>
      </c>
      <c r="G16" s="392">
        <f t="shared" si="1"/>
        <v>72000</v>
      </c>
      <c r="H16" s="392">
        <f t="shared" si="1"/>
        <v>72000</v>
      </c>
      <c r="I16" s="392">
        <f t="shared" si="1"/>
        <v>72000</v>
      </c>
      <c r="J16" s="392">
        <f t="shared" si="1"/>
        <v>72000</v>
      </c>
      <c r="L16" s="20"/>
      <c r="M16" s="20"/>
      <c r="N16" s="20"/>
      <c r="O16" s="20"/>
      <c r="R16" s="20"/>
      <c r="S16" s="20"/>
    </row>
    <row r="17" spans="1:19" s="55" customFormat="1" ht="15.75" x14ac:dyDescent="0.25">
      <c r="A17" s="404" t="s">
        <v>52</v>
      </c>
      <c r="B17" s="406" t="s">
        <v>431</v>
      </c>
      <c r="C17" s="391">
        <f t="shared" si="0"/>
        <v>0</v>
      </c>
      <c r="D17" s="393">
        <v>0</v>
      </c>
      <c r="E17" s="393">
        <v>0</v>
      </c>
      <c r="F17" s="393">
        <v>0</v>
      </c>
      <c r="G17" s="393">
        <v>0</v>
      </c>
      <c r="H17" s="393">
        <v>0</v>
      </c>
      <c r="I17" s="393">
        <v>0</v>
      </c>
      <c r="J17" s="393">
        <v>0</v>
      </c>
      <c r="L17" s="174"/>
      <c r="M17" s="174"/>
      <c r="N17" s="174"/>
      <c r="O17" s="174"/>
      <c r="R17" s="174"/>
      <c r="S17" s="174"/>
    </row>
    <row r="18" spans="1:19" s="55" customFormat="1" ht="31.5" x14ac:dyDescent="0.25">
      <c r="A18" s="404" t="s">
        <v>53</v>
      </c>
      <c r="B18" s="406" t="s">
        <v>432</v>
      </c>
      <c r="C18" s="391">
        <f t="shared" si="0"/>
        <v>0</v>
      </c>
      <c r="D18" s="392">
        <v>0</v>
      </c>
      <c r="E18" s="392">
        <v>0</v>
      </c>
      <c r="F18" s="392">
        <v>0</v>
      </c>
      <c r="G18" s="392">
        <v>0</v>
      </c>
      <c r="H18" s="392">
        <v>0</v>
      </c>
      <c r="I18" s="392">
        <v>0</v>
      </c>
      <c r="J18" s="392">
        <v>0</v>
      </c>
      <c r="L18" s="20"/>
      <c r="M18" s="20"/>
      <c r="N18" s="20"/>
      <c r="O18" s="20"/>
      <c r="R18" s="20"/>
      <c r="S18" s="20"/>
    </row>
    <row r="19" spans="1:19" s="55" customFormat="1" ht="31.5" x14ac:dyDescent="0.25">
      <c r="A19" s="404" t="s">
        <v>54</v>
      </c>
      <c r="B19" s="406" t="s">
        <v>433</v>
      </c>
      <c r="C19" s="391">
        <f t="shared" si="0"/>
        <v>0</v>
      </c>
      <c r="D19" s="392">
        <v>0</v>
      </c>
      <c r="E19" s="392">
        <v>0</v>
      </c>
      <c r="F19" s="392">
        <v>0</v>
      </c>
      <c r="G19" s="392">
        <v>0</v>
      </c>
      <c r="H19" s="392">
        <v>0</v>
      </c>
      <c r="I19" s="392">
        <v>0</v>
      </c>
      <c r="J19" s="392">
        <v>0</v>
      </c>
      <c r="L19" s="20"/>
      <c r="M19" s="20"/>
      <c r="N19" s="20"/>
      <c r="O19" s="20"/>
      <c r="R19" s="20"/>
      <c r="S19" s="20"/>
    </row>
    <row r="20" spans="1:19" s="55" customFormat="1" ht="47.25" x14ac:dyDescent="0.25">
      <c r="A20" s="404" t="s">
        <v>55</v>
      </c>
      <c r="B20" s="406" t="s">
        <v>434</v>
      </c>
      <c r="C20" s="391">
        <f t="shared" si="0"/>
        <v>306000</v>
      </c>
      <c r="D20" s="392">
        <f>1700*180</f>
        <v>306000</v>
      </c>
      <c r="E20" s="392">
        <v>0</v>
      </c>
      <c r="F20" s="392">
        <v>0</v>
      </c>
      <c r="G20" s="392">
        <v>0</v>
      </c>
      <c r="H20" s="392">
        <v>0</v>
      </c>
      <c r="I20" s="392">
        <v>0</v>
      </c>
      <c r="J20" s="392">
        <v>0</v>
      </c>
      <c r="L20" s="20"/>
      <c r="M20" s="20"/>
      <c r="N20" s="20"/>
      <c r="O20" s="20"/>
      <c r="R20" s="175"/>
      <c r="S20" s="175"/>
    </row>
    <row r="21" spans="1:19" s="55" customFormat="1" ht="31.5" x14ac:dyDescent="0.25">
      <c r="A21" s="404" t="s">
        <v>56</v>
      </c>
      <c r="B21" s="406" t="s">
        <v>435</v>
      </c>
      <c r="C21" s="391">
        <f t="shared" si="0"/>
        <v>81000</v>
      </c>
      <c r="D21" s="392">
        <f>150*180</f>
        <v>27000</v>
      </c>
      <c r="E21" s="392">
        <v>0</v>
      </c>
      <c r="F21" s="392">
        <v>0</v>
      </c>
      <c r="G21" s="392">
        <f>D21</f>
        <v>27000</v>
      </c>
      <c r="H21" s="392">
        <v>0</v>
      </c>
      <c r="I21" s="392">
        <v>0</v>
      </c>
      <c r="J21" s="392">
        <f>G21</f>
        <v>27000</v>
      </c>
      <c r="L21" s="174"/>
      <c r="M21" s="174"/>
      <c r="N21" s="174"/>
      <c r="O21" s="174"/>
      <c r="R21" s="174"/>
      <c r="S21" s="174"/>
    </row>
    <row r="22" spans="1:19" s="55" customFormat="1" ht="173.25" x14ac:dyDescent="0.25">
      <c r="A22" s="404" t="s">
        <v>151</v>
      </c>
      <c r="B22" s="406" t="s">
        <v>436</v>
      </c>
      <c r="C22" s="391">
        <f t="shared" si="0"/>
        <v>397800</v>
      </c>
      <c r="D22" s="392">
        <f>D20*5%</f>
        <v>15300</v>
      </c>
      <c r="E22" s="392">
        <f>D22</f>
        <v>15300</v>
      </c>
      <c r="F22" s="392">
        <f>E22</f>
        <v>15300</v>
      </c>
      <c r="G22" s="392">
        <f>D20</f>
        <v>306000</v>
      </c>
      <c r="H22" s="392">
        <f>F22</f>
        <v>15300</v>
      </c>
      <c r="I22" s="392">
        <f>H22</f>
        <v>15300</v>
      </c>
      <c r="J22" s="392">
        <f>I22</f>
        <v>15300</v>
      </c>
      <c r="L22" s="20"/>
      <c r="M22" s="20"/>
      <c r="N22" s="20"/>
      <c r="O22" s="20"/>
      <c r="R22" s="175"/>
      <c r="S22" s="175"/>
    </row>
    <row r="23" spans="1:19" s="55" customFormat="1" ht="15.75" x14ac:dyDescent="0.25">
      <c r="A23" s="404" t="s">
        <v>57</v>
      </c>
      <c r="B23" s="406" t="s">
        <v>306</v>
      </c>
      <c r="C23" s="391">
        <f t="shared" si="0"/>
        <v>94500</v>
      </c>
      <c r="D23" s="392">
        <f>'Mobile - Inputs 3'!F16</f>
        <v>94500</v>
      </c>
      <c r="E23" s="392">
        <v>0</v>
      </c>
      <c r="F23" s="392">
        <v>0</v>
      </c>
      <c r="G23" s="392">
        <v>0</v>
      </c>
      <c r="H23" s="392">
        <v>0</v>
      </c>
      <c r="I23" s="392">
        <v>0</v>
      </c>
      <c r="J23" s="392">
        <v>0</v>
      </c>
      <c r="L23" s="20"/>
      <c r="M23" s="20"/>
      <c r="N23" s="20"/>
      <c r="O23" s="20"/>
      <c r="R23" s="20"/>
      <c r="S23" s="20"/>
    </row>
    <row r="24" spans="1:19" s="55" customFormat="1" ht="31.5" x14ac:dyDescent="0.25">
      <c r="A24" s="404" t="s">
        <v>59</v>
      </c>
      <c r="B24" s="406" t="s">
        <v>306</v>
      </c>
      <c r="C24" s="391">
        <f t="shared" si="0"/>
        <v>302400</v>
      </c>
      <c r="D24" s="392">
        <f>'Mobile - Inputs 3'!F15</f>
        <v>43200</v>
      </c>
      <c r="E24" s="392">
        <f t="shared" ref="E24:J24" si="2">D24</f>
        <v>43200</v>
      </c>
      <c r="F24" s="392">
        <f t="shared" si="2"/>
        <v>43200</v>
      </c>
      <c r="G24" s="392">
        <f t="shared" si="2"/>
        <v>43200</v>
      </c>
      <c r="H24" s="392">
        <f t="shared" si="2"/>
        <v>43200</v>
      </c>
      <c r="I24" s="392">
        <f t="shared" si="2"/>
        <v>43200</v>
      </c>
      <c r="J24" s="392">
        <f t="shared" si="2"/>
        <v>43200</v>
      </c>
      <c r="L24" s="20"/>
      <c r="M24" s="20"/>
      <c r="N24" s="20"/>
      <c r="O24" s="242"/>
      <c r="R24" s="20"/>
      <c r="S24" s="20"/>
    </row>
    <row r="25" spans="1:19" s="55" customFormat="1" ht="31.5" x14ac:dyDescent="0.25">
      <c r="A25" s="404" t="s">
        <v>58</v>
      </c>
      <c r="B25" s="406" t="s">
        <v>306</v>
      </c>
      <c r="C25" s="391">
        <f t="shared" si="0"/>
        <v>0</v>
      </c>
      <c r="D25" s="392">
        <v>0</v>
      </c>
      <c r="E25" s="392">
        <v>0</v>
      </c>
      <c r="F25" s="392">
        <v>0</v>
      </c>
      <c r="G25" s="392">
        <v>0</v>
      </c>
      <c r="H25" s="392">
        <v>0</v>
      </c>
      <c r="I25" s="392">
        <v>0</v>
      </c>
      <c r="J25" s="392">
        <v>0</v>
      </c>
      <c r="L25" s="20"/>
      <c r="M25" s="20"/>
      <c r="N25" s="20"/>
      <c r="O25" s="20"/>
      <c r="R25" s="20"/>
      <c r="S25" s="20"/>
    </row>
  </sheetData>
  <mergeCells count="2">
    <mergeCell ref="A4:J4"/>
    <mergeCell ref="A7:J7"/>
  </mergeCells>
  <pageMargins left="0.7" right="0.7" top="0.75" bottom="0.75" header="0.3" footer="0.3"/>
  <pageSetup paperSize="17" scale="75" orientation="landscape" verticalDpi="0" r:id="rId1"/>
  <tableParts count="1">
    <tablePart r:id="rId2"/>
  </tablePart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A1:P63"/>
  <sheetViews>
    <sheetView zoomScale="70" zoomScaleNormal="70" workbookViewId="0">
      <pane ySplit="11" topLeftCell="A12" activePane="bottomLeft" state="frozen"/>
      <selection pane="bottomLeft"/>
    </sheetView>
  </sheetViews>
  <sheetFormatPr defaultColWidth="9.140625" defaultRowHeight="15.75" x14ac:dyDescent="0.25"/>
  <cols>
    <col min="1" max="1" width="72.7109375" style="55" customWidth="1"/>
    <col min="2" max="2" width="17.42578125" style="55" customWidth="1"/>
    <col min="3" max="3" width="13.140625" style="55" customWidth="1"/>
    <col min="4" max="4" width="13" style="55" bestFit="1" customWidth="1"/>
    <col min="5" max="5" width="17.140625" style="55" customWidth="1"/>
    <col min="6" max="6" width="15.5703125" style="55" bestFit="1" customWidth="1"/>
    <col min="7" max="7" width="14.140625" style="55" bestFit="1" customWidth="1"/>
    <col min="8" max="9" width="15" style="55" bestFit="1" customWidth="1"/>
    <col min="10" max="16384" width="9.140625" style="55"/>
  </cols>
  <sheetData>
    <row r="1" spans="1:16" ht="21.75" customHeight="1" x14ac:dyDescent="0.35">
      <c r="A1" s="521" t="s">
        <v>300</v>
      </c>
      <c r="B1" s="120"/>
      <c r="C1" s="120"/>
      <c r="D1" s="120"/>
      <c r="E1" s="120"/>
      <c r="F1" s="120"/>
      <c r="G1" s="120"/>
      <c r="H1" s="120"/>
      <c r="I1" s="120"/>
      <c r="J1" s="297"/>
      <c r="K1" s="119"/>
      <c r="L1" s="119"/>
      <c r="M1" s="119"/>
      <c r="N1" s="119"/>
      <c r="O1" s="119"/>
      <c r="P1" s="117"/>
    </row>
    <row r="2" spans="1:16" ht="18.75" x14ac:dyDescent="0.3">
      <c r="A2" s="520" t="s">
        <v>154</v>
      </c>
      <c r="B2" s="120"/>
      <c r="C2" s="120"/>
      <c r="D2" s="120"/>
      <c r="E2" s="120"/>
      <c r="F2" s="120"/>
      <c r="G2" s="120"/>
      <c r="H2" s="120"/>
      <c r="I2" s="120"/>
      <c r="J2" s="119"/>
      <c r="K2" s="119"/>
      <c r="L2" s="119"/>
      <c r="M2" s="119"/>
      <c r="N2" s="119"/>
      <c r="O2" s="119"/>
      <c r="P2" s="117"/>
    </row>
    <row r="3" spans="1:16" ht="16.5" thickBot="1" x14ac:dyDescent="0.3">
      <c r="A3" s="64"/>
      <c r="B3" s="120"/>
      <c r="C3" s="120"/>
      <c r="D3" s="120"/>
      <c r="E3" s="120"/>
      <c r="F3" s="120"/>
      <c r="G3" s="120"/>
      <c r="H3" s="120"/>
      <c r="I3" s="120"/>
      <c r="J3" s="53"/>
      <c r="K3" s="53"/>
      <c r="L3" s="53"/>
      <c r="M3" s="53"/>
      <c r="N3" s="53"/>
      <c r="O3" s="53"/>
      <c r="P3" s="117"/>
    </row>
    <row r="4" spans="1:16" ht="65.25" customHeight="1" thickTop="1" thickBot="1" x14ac:dyDescent="0.3">
      <c r="A4" s="626" t="s">
        <v>437</v>
      </c>
      <c r="B4" s="627"/>
      <c r="C4" s="627"/>
      <c r="D4" s="627"/>
      <c r="E4" s="627"/>
      <c r="F4" s="627"/>
      <c r="G4" s="627"/>
      <c r="H4" s="627"/>
      <c r="I4" s="628"/>
      <c r="J4" s="56"/>
      <c r="K4" s="56"/>
      <c r="L4" s="56"/>
      <c r="M4" s="56"/>
      <c r="N4" s="56"/>
      <c r="O4" s="56"/>
      <c r="P4" s="117"/>
    </row>
    <row r="5" spans="1:16" ht="16.5" thickTop="1" x14ac:dyDescent="0.25">
      <c r="A5" s="195"/>
      <c r="B5" s="195"/>
      <c r="C5" s="195"/>
      <c r="D5" s="195"/>
      <c r="E5" s="195"/>
      <c r="F5" s="195"/>
      <c r="G5" s="195"/>
      <c r="H5" s="195"/>
      <c r="I5" s="195"/>
      <c r="J5" s="56"/>
      <c r="K5" s="56"/>
      <c r="L5" s="56"/>
      <c r="M5" s="56"/>
      <c r="N5" s="56"/>
      <c r="O5" s="56"/>
      <c r="P5" s="117"/>
    </row>
    <row r="6" spans="1:16" ht="113.25" customHeight="1" x14ac:dyDescent="0.25">
      <c r="A6" s="660" t="s">
        <v>537</v>
      </c>
      <c r="B6" s="661"/>
      <c r="C6" s="661"/>
      <c r="D6" s="661"/>
      <c r="E6" s="661"/>
      <c r="F6" s="661"/>
      <c r="G6" s="661"/>
      <c r="H6" s="661"/>
      <c r="I6" s="662"/>
      <c r="J6" s="56"/>
      <c r="K6" s="56"/>
      <c r="L6" s="56"/>
      <c r="M6" s="56"/>
      <c r="N6" s="56"/>
      <c r="O6" s="56"/>
      <c r="P6" s="117"/>
    </row>
    <row r="7" spans="1:16" ht="12.75" customHeight="1" x14ac:dyDescent="0.25">
      <c r="A7" s="130"/>
      <c r="B7" s="130"/>
      <c r="C7" s="130"/>
      <c r="D7" s="130"/>
      <c r="E7" s="130"/>
      <c r="F7" s="130"/>
      <c r="G7" s="130"/>
      <c r="H7" s="130"/>
      <c r="I7" s="133"/>
      <c r="J7" s="56"/>
      <c r="K7" s="56"/>
      <c r="L7" s="56"/>
      <c r="M7" s="56"/>
      <c r="N7" s="56"/>
      <c r="O7" s="56"/>
      <c r="P7" s="117"/>
    </row>
    <row r="8" spans="1:16" ht="15" customHeight="1" x14ac:dyDescent="0.25">
      <c r="A8" s="642" t="s">
        <v>520</v>
      </c>
      <c r="B8" s="643"/>
      <c r="C8" s="643"/>
      <c r="D8" s="643"/>
      <c r="E8" s="643"/>
      <c r="F8" s="643"/>
      <c r="G8" s="643"/>
      <c r="H8" s="643"/>
      <c r="I8" s="643"/>
      <c r="J8" s="56"/>
      <c r="K8" s="56"/>
      <c r="L8" s="56"/>
      <c r="M8" s="56"/>
      <c r="N8" s="56"/>
      <c r="O8" s="56"/>
      <c r="P8" s="117"/>
    </row>
    <row r="9" spans="1:16" ht="120" customHeight="1" x14ac:dyDescent="0.25">
      <c r="A9" s="641" t="s">
        <v>409</v>
      </c>
      <c r="B9" s="641"/>
      <c r="C9" s="641"/>
      <c r="D9" s="641"/>
      <c r="E9" s="641"/>
      <c r="F9" s="641"/>
      <c r="G9" s="641"/>
      <c r="H9" s="641"/>
      <c r="I9" s="641"/>
      <c r="J9" s="56"/>
      <c r="K9" s="56"/>
      <c r="L9" s="56"/>
      <c r="M9" s="56"/>
      <c r="N9" s="56"/>
      <c r="O9" s="56"/>
      <c r="P9" s="117"/>
    </row>
    <row r="10" spans="1:16" s="145" customFormat="1" x14ac:dyDescent="0.25">
      <c r="A10" s="133"/>
      <c r="B10" s="133"/>
      <c r="C10" s="133"/>
      <c r="D10" s="133"/>
      <c r="E10" s="133"/>
      <c r="F10" s="133"/>
      <c r="G10" s="133"/>
      <c r="H10" s="133"/>
      <c r="I10" s="133"/>
      <c r="J10" s="133"/>
      <c r="K10" s="133"/>
      <c r="L10" s="133"/>
      <c r="M10" s="133"/>
      <c r="N10" s="133"/>
      <c r="O10" s="133"/>
      <c r="P10" s="133"/>
    </row>
    <row r="11" spans="1:16" s="145" customFormat="1" x14ac:dyDescent="0.25">
      <c r="A11" s="339" t="s">
        <v>521</v>
      </c>
      <c r="B11" s="340" t="s">
        <v>522</v>
      </c>
      <c r="C11" s="340" t="s">
        <v>523</v>
      </c>
      <c r="D11" s="340" t="s">
        <v>524</v>
      </c>
      <c r="E11" s="340" t="s">
        <v>525</v>
      </c>
      <c r="F11" s="340" t="s">
        <v>526</v>
      </c>
      <c r="G11" s="340" t="s">
        <v>527</v>
      </c>
      <c r="H11" s="340" t="s">
        <v>528</v>
      </c>
      <c r="I11" s="341" t="s">
        <v>529</v>
      </c>
    </row>
    <row r="12" spans="1:16" s="145" customFormat="1" ht="17.45" customHeight="1" x14ac:dyDescent="0.25">
      <c r="A12" s="417" t="str">
        <f>'Mobile - Inputs 2'!$A12</f>
        <v>Time to create daily inspection report</v>
      </c>
      <c r="B12" s="383">
        <f t="shared" ref="B12:B17" si="0">SUM(C12:I12)</f>
        <v>2252250</v>
      </c>
      <c r="C12" s="384">
        <f>'Mobile - Inputs 2'!$C$12*'Mobile - Inputs 2'!D12</f>
        <v>0</v>
      </c>
      <c r="D12" s="384">
        <f>'Mobile - Inputs 2'!$C$12*'Mobile - Inputs 2'!E12</f>
        <v>214500</v>
      </c>
      <c r="E12" s="384">
        <f>'Mobile - Inputs 2'!$C$12*'Mobile - Inputs 2'!F12</f>
        <v>321750</v>
      </c>
      <c r="F12" s="384">
        <f>'Mobile - Inputs 2'!$C$12*'Mobile - Inputs 2'!G12</f>
        <v>429000</v>
      </c>
      <c r="G12" s="384">
        <f>'Mobile - Inputs 2'!$C$12*'Mobile - Inputs 2'!H12</f>
        <v>429000</v>
      </c>
      <c r="H12" s="384">
        <f>'Mobile - Inputs 2'!$C$12*'Mobile - Inputs 2'!I12</f>
        <v>429000</v>
      </c>
      <c r="I12" s="384">
        <f>'Mobile - Inputs 2'!$C$12*'Mobile - Inputs 2'!J12</f>
        <v>429000</v>
      </c>
    </row>
    <row r="13" spans="1:16" s="145" customFormat="1" x14ac:dyDescent="0.25">
      <c r="A13" s="417" t="str">
        <f>'Mobile - Inputs 2'!$A13</f>
        <v>Time to travel offsite to office to submit documentation</v>
      </c>
      <c r="B13" s="383">
        <f t="shared" si="0"/>
        <v>0</v>
      </c>
      <c r="C13" s="384">
        <f>'Mobile - Inputs 2'!$C$13*'Mobile - Inputs 2'!D13</f>
        <v>0</v>
      </c>
      <c r="D13" s="384">
        <f>'Mobile - Inputs 2'!$C$13*'Mobile - Inputs 2'!E13</f>
        <v>0</v>
      </c>
      <c r="E13" s="384">
        <f>'Mobile - Inputs 2'!$C$13*'Mobile - Inputs 2'!F13</f>
        <v>0</v>
      </c>
      <c r="F13" s="384">
        <f>'Mobile - Inputs 2'!$C$13*'Mobile - Inputs 2'!G13</f>
        <v>0</v>
      </c>
      <c r="G13" s="384">
        <f>'Mobile - Inputs 2'!$C$13*'Mobile - Inputs 2'!H13</f>
        <v>0</v>
      </c>
      <c r="H13" s="384">
        <f>'Mobile - Inputs 2'!$C$13*'Mobile - Inputs 2'!I13</f>
        <v>0</v>
      </c>
      <c r="I13" s="384">
        <f>'Mobile - Inputs 2'!$C$13*'Mobile - Inputs 2'!J13</f>
        <v>0</v>
      </c>
    </row>
    <row r="14" spans="1:16" s="145" customFormat="1" x14ac:dyDescent="0.25">
      <c r="A14" s="417" t="str">
        <f>'Mobile - Inputs 2'!$A$14</f>
        <v>Time to search for content</v>
      </c>
      <c r="B14" s="383">
        <f t="shared" si="0"/>
        <v>1126125</v>
      </c>
      <c r="C14" s="384">
        <f>'Mobile - Inputs 2'!$C$14*'Mobile - Inputs 2'!D14</f>
        <v>0</v>
      </c>
      <c r="D14" s="384">
        <f>'Mobile - Inputs 2'!$C$14*'Mobile - Inputs 2'!E14</f>
        <v>107250</v>
      </c>
      <c r="E14" s="384">
        <f>'Mobile - Inputs 2'!$C$14*'Mobile - Inputs 2'!F14</f>
        <v>160875</v>
      </c>
      <c r="F14" s="384">
        <f>'Mobile - Inputs 2'!$C$14*'Mobile - Inputs 2'!G14</f>
        <v>214500</v>
      </c>
      <c r="G14" s="384">
        <f>'Mobile - Inputs 2'!$C$14*'Mobile - Inputs 2'!H14</f>
        <v>214500</v>
      </c>
      <c r="H14" s="384">
        <f>'Mobile - Inputs 2'!$C$14*'Mobile - Inputs 2'!I14</f>
        <v>214500</v>
      </c>
      <c r="I14" s="384">
        <f>'Mobile - Inputs 2'!$C$14*'Mobile - Inputs 2'!J14</f>
        <v>214500</v>
      </c>
    </row>
    <row r="15" spans="1:16" s="145" customFormat="1" ht="31.5" x14ac:dyDescent="0.25">
      <c r="A15" s="417" t="str">
        <f>'Mobile - Inputs 2'!A15</f>
        <v>Additional benefit to digital review process through use of mobile devices</v>
      </c>
      <c r="B15" s="383">
        <f t="shared" si="0"/>
        <v>629999.99999999988</v>
      </c>
      <c r="C15" s="384">
        <f>'Mobile - Inputs 2'!$C$15*'Mobile - Inputs 2'!D15</f>
        <v>0</v>
      </c>
      <c r="D15" s="384">
        <f>'Mobile - Inputs 2'!$C$15*'Mobile - Inputs 2'!E15</f>
        <v>59999.999999999993</v>
      </c>
      <c r="E15" s="384">
        <f>'Mobile - Inputs 2'!$C$15*'Mobile - Inputs 2'!F15</f>
        <v>89999.999999999985</v>
      </c>
      <c r="F15" s="384">
        <f>'Mobile - Inputs 2'!$C$15*'Mobile - Inputs 2'!G15</f>
        <v>119999.99999999999</v>
      </c>
      <c r="G15" s="384">
        <f>'Mobile - Inputs 2'!$C$15*'Mobile - Inputs 2'!H15</f>
        <v>119999.99999999999</v>
      </c>
      <c r="H15" s="384">
        <f>'Mobile - Inputs 2'!$C$15*'Mobile - Inputs 2'!I15</f>
        <v>119999.99999999999</v>
      </c>
      <c r="I15" s="384">
        <f>'Mobile - Inputs 2'!$C$15*'Mobile - Inputs 2'!J15</f>
        <v>119999.99999999999</v>
      </c>
    </row>
    <row r="16" spans="1:16" s="145" customFormat="1" ht="31.5" x14ac:dyDescent="0.25">
      <c r="A16" s="417" t="str">
        <f>'Mobile - Inputs 2'!A16</f>
        <v>Additional benefit to project collaboration through use of mobile devices</v>
      </c>
      <c r="B16" s="383">
        <f t="shared" si="0"/>
        <v>840000</v>
      </c>
      <c r="C16" s="384">
        <f>'Mobile - Inputs 2'!$C$16*'Mobile - Inputs 2'!D16</f>
        <v>0</v>
      </c>
      <c r="D16" s="384">
        <f>'Mobile - Inputs 2'!$C$16*'Mobile - Inputs 2'!E16</f>
        <v>80000</v>
      </c>
      <c r="E16" s="384">
        <f>'Mobile - Inputs 2'!$C$16*'Mobile - Inputs 2'!F16</f>
        <v>120000</v>
      </c>
      <c r="F16" s="384">
        <f>'Mobile - Inputs 2'!$C$16*'Mobile - Inputs 2'!G16</f>
        <v>160000</v>
      </c>
      <c r="G16" s="384">
        <f>'Mobile - Inputs 2'!$C$16*'Mobile - Inputs 2'!H16</f>
        <v>160000</v>
      </c>
      <c r="H16" s="384">
        <f>'Mobile - Inputs 2'!$C$16*'Mobile - Inputs 2'!I16</f>
        <v>160000</v>
      </c>
      <c r="I16" s="384">
        <f>'Mobile - Inputs 2'!$C$16*'Mobile - Inputs 2'!J16</f>
        <v>160000</v>
      </c>
    </row>
    <row r="17" spans="1:9" s="145" customFormat="1" ht="31.5" x14ac:dyDescent="0.25">
      <c r="A17" s="417" t="str">
        <f>'Mobile - Inputs 2'!A17</f>
        <v>Additional benefit to project construction management through use of mobile devices</v>
      </c>
      <c r="B17" s="383">
        <f t="shared" si="0"/>
        <v>629999.99999999988</v>
      </c>
      <c r="C17" s="384">
        <f>'Mobile - Inputs 2'!$C$17*'Mobile - Inputs 2'!D17</f>
        <v>0</v>
      </c>
      <c r="D17" s="384">
        <f>'Mobile - Inputs 2'!$C$17*'Mobile - Inputs 2'!E17</f>
        <v>59999.999999999993</v>
      </c>
      <c r="E17" s="384">
        <f>'Mobile - Inputs 2'!$C$17*'Mobile - Inputs 2'!F17</f>
        <v>89999.999999999985</v>
      </c>
      <c r="F17" s="384">
        <f>'Mobile - Inputs 2'!$C$17*'Mobile - Inputs 2'!G17</f>
        <v>119999.99999999999</v>
      </c>
      <c r="G17" s="384">
        <f>'Mobile - Inputs 2'!$C$17*'Mobile - Inputs 2'!H17</f>
        <v>119999.99999999999</v>
      </c>
      <c r="H17" s="384">
        <f>'Mobile - Inputs 2'!$C$17*'Mobile - Inputs 2'!I17</f>
        <v>119999.99999999999</v>
      </c>
      <c r="I17" s="384">
        <f>'Mobile - Inputs 2'!$C$17*'Mobile - Inputs 2'!J17</f>
        <v>119999.99999999999</v>
      </c>
    </row>
    <row r="18" spans="1:9" s="145" customFormat="1" ht="15" customHeight="1" x14ac:dyDescent="0.25">
      <c r="A18" s="395" t="s">
        <v>26</v>
      </c>
      <c r="B18" s="383">
        <f>SUM(B12:B14)</f>
        <v>3378375</v>
      </c>
      <c r="C18" s="383">
        <f>SUM(C12:C17)</f>
        <v>0</v>
      </c>
      <c r="D18" s="383">
        <f t="shared" ref="D18:I18" si="1">SUM(D12:D17)</f>
        <v>521750</v>
      </c>
      <c r="E18" s="383">
        <f t="shared" si="1"/>
        <v>782625</v>
      </c>
      <c r="F18" s="383">
        <f t="shared" si="1"/>
        <v>1043500</v>
      </c>
      <c r="G18" s="383">
        <f t="shared" si="1"/>
        <v>1043500</v>
      </c>
      <c r="H18" s="383">
        <f t="shared" si="1"/>
        <v>1043500</v>
      </c>
      <c r="I18" s="383">
        <f t="shared" si="1"/>
        <v>1043500</v>
      </c>
    </row>
    <row r="19" spans="1:9" s="54" customFormat="1" ht="15" customHeight="1" x14ac:dyDescent="0.25">
      <c r="A19" s="374"/>
      <c r="B19" s="378"/>
      <c r="C19" s="379"/>
      <c r="D19" s="379"/>
      <c r="E19" s="379"/>
      <c r="F19" s="379"/>
      <c r="G19" s="379"/>
      <c r="H19" s="379"/>
      <c r="I19" s="380"/>
    </row>
    <row r="20" spans="1:9" s="145" customFormat="1" x14ac:dyDescent="0.25">
      <c r="A20" s="339" t="s">
        <v>530</v>
      </c>
      <c r="B20" s="340" t="s">
        <v>522</v>
      </c>
      <c r="C20" s="340" t="s">
        <v>523</v>
      </c>
      <c r="D20" s="340" t="s">
        <v>524</v>
      </c>
      <c r="E20" s="340" t="s">
        <v>525</v>
      </c>
      <c r="F20" s="340" t="s">
        <v>526</v>
      </c>
      <c r="G20" s="340" t="s">
        <v>527</v>
      </c>
      <c r="H20" s="340" t="s">
        <v>528</v>
      </c>
      <c r="I20" s="341" t="s">
        <v>529</v>
      </c>
    </row>
    <row r="21" spans="1:9" s="145" customFormat="1" x14ac:dyDescent="0.25">
      <c r="A21" s="382" t="str">
        <f>'Mobile - Inputs 4'!$A12</f>
        <v>Pre-implementation planning consultant: General</v>
      </c>
      <c r="B21" s="383">
        <f t="shared" ref="B21:B34" si="2">SUM(C21:I21)</f>
        <v>100000</v>
      </c>
      <c r="C21" s="384">
        <f>'Mobile - Inputs 4'!D12</f>
        <v>100000</v>
      </c>
      <c r="D21" s="384">
        <f>'Mobile - Inputs 4'!E12</f>
        <v>0</v>
      </c>
      <c r="E21" s="384">
        <f>'Mobile - Inputs 4'!F12</f>
        <v>0</v>
      </c>
      <c r="F21" s="384">
        <f>'Mobile - Inputs 4'!G12</f>
        <v>0</v>
      </c>
      <c r="G21" s="384">
        <f>'Mobile - Inputs 4'!H12</f>
        <v>0</v>
      </c>
      <c r="H21" s="384">
        <f>'Mobile - Inputs 4'!I12</f>
        <v>0</v>
      </c>
      <c r="I21" s="384">
        <f>'Mobile - Inputs 4'!J12</f>
        <v>0</v>
      </c>
    </row>
    <row r="22" spans="1:9" s="145" customFormat="1" x14ac:dyDescent="0.25">
      <c r="A22" s="382" t="str">
        <f>'Mobile - Inputs 4'!$A13</f>
        <v>Pre-implementation planning consultant: Digital review (Optional)</v>
      </c>
      <c r="B22" s="383">
        <f>SUM(C22:I22)</f>
        <v>15000</v>
      </c>
      <c r="C22" s="384">
        <f>'Mobile - Inputs 4'!D13</f>
        <v>15000</v>
      </c>
      <c r="D22" s="384">
        <f>'Mobile - Inputs 4'!E13</f>
        <v>0</v>
      </c>
      <c r="E22" s="384">
        <f>'Mobile - Inputs 4'!F13</f>
        <v>0</v>
      </c>
      <c r="F22" s="384">
        <f>'Mobile - Inputs 4'!G13</f>
        <v>0</v>
      </c>
      <c r="G22" s="384">
        <f>'Mobile - Inputs 4'!H13</f>
        <v>0</v>
      </c>
      <c r="H22" s="384">
        <f>'Mobile - Inputs 4'!I13</f>
        <v>0</v>
      </c>
      <c r="I22" s="384">
        <f>'Mobile - Inputs 4'!J13</f>
        <v>0</v>
      </c>
    </row>
    <row r="23" spans="1:9" s="145" customFormat="1" x14ac:dyDescent="0.25">
      <c r="A23" s="382" t="str">
        <f>'Mobile - Inputs 4'!$A14</f>
        <v>Pre-implementation planning consultant: Project collaboration (Optional)</v>
      </c>
      <c r="B23" s="383">
        <f>SUM(C23:I23)</f>
        <v>25000</v>
      </c>
      <c r="C23" s="384">
        <f>'Mobile - Inputs 4'!D14</f>
        <v>25000</v>
      </c>
      <c r="D23" s="384">
        <f>'Mobile - Inputs 4'!E14</f>
        <v>0</v>
      </c>
      <c r="E23" s="384">
        <f>'Mobile - Inputs 4'!F14</f>
        <v>0</v>
      </c>
      <c r="F23" s="384">
        <f>'Mobile - Inputs 4'!G14</f>
        <v>0</v>
      </c>
      <c r="G23" s="384">
        <f>'Mobile - Inputs 4'!H14</f>
        <v>0</v>
      </c>
      <c r="H23" s="384">
        <f>'Mobile - Inputs 4'!I14</f>
        <v>0</v>
      </c>
      <c r="I23" s="384">
        <f>'Mobile - Inputs 4'!J14</f>
        <v>0</v>
      </c>
    </row>
    <row r="24" spans="1:9" s="145" customFormat="1" x14ac:dyDescent="0.25">
      <c r="A24" s="382" t="str">
        <f>'Mobile - Inputs 4'!$A15</f>
        <v>Pre-implementation planning consultant: Project construction management (Optional)</v>
      </c>
      <c r="B24" s="383">
        <f>SUM(C24:I24)</f>
        <v>50000</v>
      </c>
      <c r="C24" s="384">
        <f>'Mobile - Inputs 4'!D15</f>
        <v>50000</v>
      </c>
      <c r="D24" s="384">
        <f>'Mobile - Inputs 4'!E15</f>
        <v>0</v>
      </c>
      <c r="E24" s="384">
        <f>'Mobile - Inputs 4'!F15</f>
        <v>0</v>
      </c>
      <c r="F24" s="384">
        <f>'Mobile - Inputs 4'!G15</f>
        <v>0</v>
      </c>
      <c r="G24" s="384">
        <f>'Mobile - Inputs 4'!H15</f>
        <v>0</v>
      </c>
      <c r="H24" s="384">
        <f>'Mobile - Inputs 4'!I15</f>
        <v>0</v>
      </c>
      <c r="I24" s="384">
        <f>'Mobile - Inputs 4'!J15</f>
        <v>0</v>
      </c>
    </row>
    <row r="25" spans="1:9" s="145" customFormat="1" x14ac:dyDescent="0.25">
      <c r="A25" s="418" t="str">
        <f>'Mobile - Inputs 4'!$A$16</f>
        <v>COTS software licenses</v>
      </c>
      <c r="B25" s="383">
        <f t="shared" si="2"/>
        <v>504000</v>
      </c>
      <c r="C25" s="384">
        <f>'Mobile - Inputs 4'!D16</f>
        <v>72000</v>
      </c>
      <c r="D25" s="384">
        <f>'Mobile - Inputs 4'!E16</f>
        <v>72000</v>
      </c>
      <c r="E25" s="384">
        <f>'Mobile - Inputs 4'!F16</f>
        <v>72000</v>
      </c>
      <c r="F25" s="384">
        <f>'Mobile - Inputs 4'!G16</f>
        <v>72000</v>
      </c>
      <c r="G25" s="384">
        <f>'Mobile - Inputs 4'!H16</f>
        <v>72000</v>
      </c>
      <c r="H25" s="384">
        <f>'Mobile - Inputs 4'!I16</f>
        <v>72000</v>
      </c>
      <c r="I25" s="384">
        <f>'Mobile - Inputs 4'!J16</f>
        <v>72000</v>
      </c>
    </row>
    <row r="26" spans="1:9" s="145" customFormat="1" x14ac:dyDescent="0.25">
      <c r="A26" s="382" t="str">
        <f>'Mobile - Inputs 4'!$A17</f>
        <v>COTS software maintenance</v>
      </c>
      <c r="B26" s="383">
        <f t="shared" si="2"/>
        <v>0</v>
      </c>
      <c r="C26" s="384">
        <f>'Mobile - Inputs 4'!D17</f>
        <v>0</v>
      </c>
      <c r="D26" s="384">
        <f>'Mobile - Inputs 4'!E17</f>
        <v>0</v>
      </c>
      <c r="E26" s="384">
        <f>'Mobile - Inputs 4'!F17</f>
        <v>0</v>
      </c>
      <c r="F26" s="384">
        <f>'Mobile - Inputs 4'!G17</f>
        <v>0</v>
      </c>
      <c r="G26" s="384">
        <f>'Mobile - Inputs 4'!H17</f>
        <v>0</v>
      </c>
      <c r="H26" s="384">
        <f>'Mobile - Inputs 4'!I17</f>
        <v>0</v>
      </c>
      <c r="I26" s="384">
        <f>'Mobile - Inputs 4'!J17</f>
        <v>0</v>
      </c>
    </row>
    <row r="27" spans="1:9" s="145" customFormat="1" x14ac:dyDescent="0.25">
      <c r="A27" s="382" t="str">
        <f>'Mobile - Inputs 4'!$A18</f>
        <v>Systems integration services</v>
      </c>
      <c r="B27" s="383">
        <f t="shared" si="2"/>
        <v>0</v>
      </c>
      <c r="C27" s="384">
        <f>'Mobile - Inputs 4'!D18</f>
        <v>0</v>
      </c>
      <c r="D27" s="384">
        <f>'Mobile - Inputs 4'!E18</f>
        <v>0</v>
      </c>
      <c r="E27" s="384">
        <f>'Mobile - Inputs 4'!F18</f>
        <v>0</v>
      </c>
      <c r="F27" s="384">
        <f>'Mobile - Inputs 4'!G18</f>
        <v>0</v>
      </c>
      <c r="G27" s="384">
        <f>'Mobile - Inputs 4'!H18</f>
        <v>0</v>
      </c>
      <c r="H27" s="384">
        <f>'Mobile - Inputs 4'!I18</f>
        <v>0</v>
      </c>
      <c r="I27" s="384">
        <f>'Mobile - Inputs 4'!J18</f>
        <v>0</v>
      </c>
    </row>
    <row r="28" spans="1:9" s="145" customFormat="1" x14ac:dyDescent="0.25">
      <c r="A28" s="382" t="str">
        <f>'Mobile - Inputs 4'!$A19</f>
        <v xml:space="preserve">Managed services support </v>
      </c>
      <c r="B28" s="383">
        <f t="shared" si="2"/>
        <v>0</v>
      </c>
      <c r="C28" s="384">
        <f>'Mobile - Inputs 4'!D19</f>
        <v>0</v>
      </c>
      <c r="D28" s="384">
        <f>'Mobile - Inputs 4'!E19</f>
        <v>0</v>
      </c>
      <c r="E28" s="384">
        <f>'Mobile - Inputs 4'!F19</f>
        <v>0</v>
      </c>
      <c r="F28" s="384">
        <f>'Mobile - Inputs 4'!G19</f>
        <v>0</v>
      </c>
      <c r="G28" s="384">
        <f>'Mobile - Inputs 4'!H19</f>
        <v>0</v>
      </c>
      <c r="H28" s="384">
        <f>'Mobile - Inputs 4'!I19</f>
        <v>0</v>
      </c>
      <c r="I28" s="384">
        <f>'Mobile - Inputs 4'!J19</f>
        <v>0</v>
      </c>
    </row>
    <row r="29" spans="1:9" s="145" customFormat="1" x14ac:dyDescent="0.25">
      <c r="A29" s="382" t="str">
        <f>'Mobile - Inputs 4'!$A20</f>
        <v>Hardware and other technical infrastructure</v>
      </c>
      <c r="B29" s="383">
        <f t="shared" si="2"/>
        <v>306000</v>
      </c>
      <c r="C29" s="384">
        <f>'Mobile - Inputs 4'!D20</f>
        <v>306000</v>
      </c>
      <c r="D29" s="384">
        <f>'Mobile - Inputs 4'!E20</f>
        <v>0</v>
      </c>
      <c r="E29" s="384">
        <f>'Mobile - Inputs 4'!F20</f>
        <v>0</v>
      </c>
      <c r="F29" s="384">
        <f>'Mobile - Inputs 4'!G20</f>
        <v>0</v>
      </c>
      <c r="G29" s="384">
        <f>'Mobile - Inputs 4'!H20</f>
        <v>0</v>
      </c>
      <c r="H29" s="384">
        <f>'Mobile - Inputs 4'!I20</f>
        <v>0</v>
      </c>
      <c r="I29" s="384">
        <f>'Mobile - Inputs 4'!J20</f>
        <v>0</v>
      </c>
    </row>
    <row r="30" spans="1:9" s="145" customFormat="1" x14ac:dyDescent="0.25">
      <c r="A30" s="382" t="str">
        <f>'Mobile - Inputs 4'!$A21</f>
        <v>Hardware and infrastructure maintenance</v>
      </c>
      <c r="B30" s="383">
        <f t="shared" si="2"/>
        <v>81000</v>
      </c>
      <c r="C30" s="384">
        <f>'Mobile - Inputs 4'!D21</f>
        <v>27000</v>
      </c>
      <c r="D30" s="384">
        <f>'Mobile - Inputs 4'!E21</f>
        <v>0</v>
      </c>
      <c r="E30" s="384">
        <f>'Mobile - Inputs 4'!F21</f>
        <v>0</v>
      </c>
      <c r="F30" s="384">
        <f>'Mobile - Inputs 4'!G21</f>
        <v>27000</v>
      </c>
      <c r="G30" s="384">
        <f>'Mobile - Inputs 4'!H21</f>
        <v>0</v>
      </c>
      <c r="H30" s="384">
        <f>'Mobile - Inputs 4'!I21</f>
        <v>0</v>
      </c>
      <c r="I30" s="384">
        <f>'Mobile - Inputs 4'!J21</f>
        <v>27000</v>
      </c>
    </row>
    <row r="31" spans="1:9" s="145" customFormat="1" x14ac:dyDescent="0.25">
      <c r="A31" s="382" t="str">
        <f>'Mobile - Inputs 4'!$A22</f>
        <v>Hardware replacement/updates</v>
      </c>
      <c r="B31" s="383">
        <f t="shared" si="2"/>
        <v>397800</v>
      </c>
      <c r="C31" s="384">
        <f>'Mobile - Inputs 4'!D22</f>
        <v>15300</v>
      </c>
      <c r="D31" s="384">
        <f>'Mobile - Inputs 4'!E22</f>
        <v>15300</v>
      </c>
      <c r="E31" s="384">
        <f>'Mobile - Inputs 4'!F22</f>
        <v>15300</v>
      </c>
      <c r="F31" s="384">
        <f>'Mobile - Inputs 4'!G22</f>
        <v>306000</v>
      </c>
      <c r="G31" s="384">
        <f>'Mobile - Inputs 4'!H22</f>
        <v>15300</v>
      </c>
      <c r="H31" s="384">
        <f>'Mobile - Inputs 4'!I22</f>
        <v>15300</v>
      </c>
      <c r="I31" s="384">
        <f>'Mobile - Inputs 4'!J22</f>
        <v>15300</v>
      </c>
    </row>
    <row r="32" spans="1:9" s="145" customFormat="1" x14ac:dyDescent="0.25">
      <c r="A32" s="382" t="str">
        <f>'Mobile - Inputs 4'!$A23</f>
        <v>Agency staff cost during project</v>
      </c>
      <c r="B32" s="383">
        <f t="shared" si="2"/>
        <v>94500</v>
      </c>
      <c r="C32" s="384">
        <f>'Mobile - Inputs 4'!D23</f>
        <v>94500</v>
      </c>
      <c r="D32" s="384">
        <f>'Mobile - Inputs 4'!E23</f>
        <v>0</v>
      </c>
      <c r="E32" s="384">
        <f>'Mobile - Inputs 4'!F23</f>
        <v>0</v>
      </c>
      <c r="F32" s="384">
        <f>'Mobile - Inputs 4'!G23</f>
        <v>0</v>
      </c>
      <c r="G32" s="384">
        <f>'Mobile - Inputs 4'!H23</f>
        <v>0</v>
      </c>
      <c r="H32" s="384">
        <f>'Mobile - Inputs 4'!I23</f>
        <v>0</v>
      </c>
      <c r="I32" s="384">
        <f>'Mobile - Inputs 4'!J23</f>
        <v>0</v>
      </c>
    </row>
    <row r="33" spans="1:9" s="145" customFormat="1" x14ac:dyDescent="0.25">
      <c r="A33" s="382" t="str">
        <f>'Mobile - Inputs 4'!$A24</f>
        <v>Agency staff cost to support system ongoing</v>
      </c>
      <c r="B33" s="383">
        <f t="shared" si="2"/>
        <v>302400</v>
      </c>
      <c r="C33" s="384">
        <f>'Mobile - Inputs 4'!D24</f>
        <v>43200</v>
      </c>
      <c r="D33" s="384">
        <f>'Mobile - Inputs 4'!E24</f>
        <v>43200</v>
      </c>
      <c r="E33" s="384">
        <f>'Mobile - Inputs 4'!F24</f>
        <v>43200</v>
      </c>
      <c r="F33" s="384">
        <f>'Mobile - Inputs 4'!G24</f>
        <v>43200</v>
      </c>
      <c r="G33" s="384">
        <f>'Mobile - Inputs 4'!H24</f>
        <v>43200</v>
      </c>
      <c r="H33" s="384">
        <f>'Mobile - Inputs 4'!I24</f>
        <v>43200</v>
      </c>
      <c r="I33" s="384">
        <f>'Mobile - Inputs 4'!J24</f>
        <v>43200</v>
      </c>
    </row>
    <row r="34" spans="1:9" s="145" customFormat="1" x14ac:dyDescent="0.25">
      <c r="A34" s="382" t="str">
        <f>'Mobile - Inputs 4'!$A25</f>
        <v>Systems integration services for upgrade</v>
      </c>
      <c r="B34" s="383">
        <f t="shared" si="2"/>
        <v>0</v>
      </c>
      <c r="C34" s="384">
        <f>'Mobile - Inputs 4'!D25</f>
        <v>0</v>
      </c>
      <c r="D34" s="384">
        <f>'Mobile - Inputs 4'!E25</f>
        <v>0</v>
      </c>
      <c r="E34" s="384">
        <f>'Mobile - Inputs 4'!F25</f>
        <v>0</v>
      </c>
      <c r="F34" s="384">
        <f>'Mobile - Inputs 4'!G25</f>
        <v>0</v>
      </c>
      <c r="G34" s="384">
        <f>'Mobile - Inputs 4'!H25</f>
        <v>0</v>
      </c>
      <c r="H34" s="384">
        <f>'Mobile - Inputs 4'!I25</f>
        <v>0</v>
      </c>
      <c r="I34" s="384">
        <f>'Mobile - Inputs 4'!J25</f>
        <v>0</v>
      </c>
    </row>
    <row r="35" spans="1:9" s="145" customFormat="1" x14ac:dyDescent="0.25">
      <c r="A35" s="394" t="s">
        <v>27</v>
      </c>
      <c r="B35" s="383">
        <f t="shared" ref="B35:I35" si="3">SUM(B21:B34)</f>
        <v>1875700</v>
      </c>
      <c r="C35" s="383">
        <f t="shared" si="3"/>
        <v>748000</v>
      </c>
      <c r="D35" s="383">
        <f t="shared" si="3"/>
        <v>130500</v>
      </c>
      <c r="E35" s="383">
        <f t="shared" si="3"/>
        <v>130500</v>
      </c>
      <c r="F35" s="383">
        <f t="shared" si="3"/>
        <v>448200</v>
      </c>
      <c r="G35" s="383">
        <f t="shared" si="3"/>
        <v>130500</v>
      </c>
      <c r="H35" s="383">
        <f t="shared" si="3"/>
        <v>130500</v>
      </c>
      <c r="I35" s="383">
        <f t="shared" si="3"/>
        <v>157500</v>
      </c>
    </row>
    <row r="36" spans="1:9" s="145" customFormat="1" x14ac:dyDescent="0.25">
      <c r="A36" s="394" t="s">
        <v>208</v>
      </c>
      <c r="B36" s="385">
        <f>B18-B35</f>
        <v>1502675</v>
      </c>
      <c r="C36" s="383">
        <f t="shared" ref="C36:I36" si="4">C18 - C35</f>
        <v>-748000</v>
      </c>
      <c r="D36" s="383">
        <f t="shared" si="4"/>
        <v>391250</v>
      </c>
      <c r="E36" s="383">
        <f t="shared" si="4"/>
        <v>652125</v>
      </c>
      <c r="F36" s="383">
        <f t="shared" si="4"/>
        <v>595300</v>
      </c>
      <c r="G36" s="383">
        <f t="shared" si="4"/>
        <v>913000</v>
      </c>
      <c r="H36" s="383">
        <f t="shared" si="4"/>
        <v>913000</v>
      </c>
      <c r="I36" s="383">
        <f t="shared" si="4"/>
        <v>886000</v>
      </c>
    </row>
    <row r="37" spans="1:9" s="145" customFormat="1" x14ac:dyDescent="0.25">
      <c r="A37" s="395" t="s">
        <v>206</v>
      </c>
      <c r="B37" s="580" t="s">
        <v>306</v>
      </c>
      <c r="C37" s="383">
        <f>C36</f>
        <v>-748000</v>
      </c>
      <c r="D37" s="383">
        <f>D36+C36</f>
        <v>-356750</v>
      </c>
      <c r="E37" s="385">
        <f>E36+D37</f>
        <v>295375</v>
      </c>
      <c r="F37" s="385">
        <f>F36+E37</f>
        <v>890675</v>
      </c>
      <c r="G37" s="385">
        <f>G36+F37</f>
        <v>1803675</v>
      </c>
      <c r="H37" s="385">
        <f>H36+G37</f>
        <v>2716675</v>
      </c>
      <c r="I37" s="385">
        <f>I36+H37</f>
        <v>3602675</v>
      </c>
    </row>
    <row r="38" spans="1:9" s="133" customFormat="1" ht="14.25" customHeight="1" x14ac:dyDescent="0.25">
      <c r="A38" s="215"/>
      <c r="B38" s="215"/>
      <c r="C38" s="261"/>
      <c r="D38" s="261"/>
      <c r="E38" s="261"/>
      <c r="F38" s="261"/>
      <c r="G38" s="261"/>
      <c r="H38" s="261"/>
      <c r="I38" s="261"/>
    </row>
    <row r="39" spans="1:9" s="133" customFormat="1" x14ac:dyDescent="0.25">
      <c r="A39" s="315" t="s">
        <v>42</v>
      </c>
      <c r="B39" s="386" t="str">
        <f>INDEX($C$48:$I$48,MATCH(TRUE, INDEX($C$37:$I$37 &gt;0,),0))</f>
        <v>Year 3</v>
      </c>
      <c r="C39" s="238"/>
      <c r="D39" s="215"/>
      <c r="E39" s="215"/>
      <c r="F39" s="215"/>
      <c r="G39" s="215"/>
      <c r="H39" s="215"/>
    </row>
    <row r="40" spans="1:9" s="133" customFormat="1" x14ac:dyDescent="0.25">
      <c r="A40" s="316" t="s">
        <v>440</v>
      </c>
      <c r="B40" s="426" t="s">
        <v>101</v>
      </c>
      <c r="C40" s="238"/>
      <c r="D40" s="215"/>
      <c r="E40" s="215"/>
      <c r="F40" s="215"/>
      <c r="G40" s="215"/>
      <c r="H40" s="215"/>
    </row>
    <row r="41" spans="1:9" s="133" customFormat="1" ht="16.5" customHeight="1" x14ac:dyDescent="0.25">
      <c r="A41" s="316" t="s">
        <v>439</v>
      </c>
      <c r="B41" s="387">
        <f>VLOOKUP(B40,B54:C60,2,FALSE)</f>
        <v>1.9207096017486804</v>
      </c>
    </row>
    <row r="42" spans="1:9" s="133" customFormat="1" x14ac:dyDescent="0.25">
      <c r="A42" s="316" t="s">
        <v>75</v>
      </c>
      <c r="B42" s="388">
        <f>VLOOKUP(B40,$B$54:$E$60,4,FALSE)/VLOOKUP(B40,$B$54:$E$60,3,FALSE)</f>
        <v>267957.14285714284</v>
      </c>
    </row>
    <row r="43" spans="1:9" s="133" customFormat="1" x14ac:dyDescent="0.25">
      <c r="A43" s="314" t="s">
        <v>207</v>
      </c>
      <c r="B43" s="388">
        <f>VLOOKUP(B40,$B$53:$F$60,5,FALSE)/VLOOKUP(B40,$B$53:$F$60,3,FALSE)</f>
        <v>514667.85714285716</v>
      </c>
    </row>
    <row r="44" spans="1:9" s="133" customFormat="1" x14ac:dyDescent="0.25">
      <c r="A44" s="178"/>
      <c r="B44" s="178"/>
    </row>
    <row r="45" spans="1:9" s="145" customFormat="1" x14ac:dyDescent="0.25"/>
    <row r="46" spans="1:9" s="145" customFormat="1" x14ac:dyDescent="0.25">
      <c r="A46" s="178"/>
      <c r="B46" s="298"/>
      <c r="C46" s="133"/>
    </row>
    <row r="47" spans="1:9" s="145" customFormat="1" ht="15" hidden="1" customHeight="1" thickBot="1" x14ac:dyDescent="0.3">
      <c r="A47" s="299" t="s">
        <v>155</v>
      </c>
      <c r="B47" s="300"/>
      <c r="C47" s="300"/>
      <c r="D47" s="300"/>
      <c r="E47" s="300"/>
      <c r="F47" s="300"/>
      <c r="G47" s="300"/>
      <c r="H47" s="300"/>
      <c r="I47" s="301"/>
    </row>
    <row r="48" spans="1:9" s="145" customFormat="1" ht="15" hidden="1" customHeight="1" x14ac:dyDescent="0.25">
      <c r="A48" s="604"/>
      <c r="B48" s="605"/>
      <c r="C48" s="605" t="s">
        <v>43</v>
      </c>
      <c r="D48" s="605" t="s">
        <v>44</v>
      </c>
      <c r="E48" s="605" t="s">
        <v>45</v>
      </c>
      <c r="F48" s="605" t="s">
        <v>46</v>
      </c>
      <c r="G48" s="605" t="s">
        <v>47</v>
      </c>
      <c r="H48" s="605" t="s">
        <v>47</v>
      </c>
      <c r="I48" s="606" t="s">
        <v>48</v>
      </c>
    </row>
    <row r="49" spans="1:9" hidden="1" x14ac:dyDescent="0.25">
      <c r="A49" s="224" t="s">
        <v>102</v>
      </c>
      <c r="B49" s="225"/>
      <c r="C49" s="226">
        <f>C35</f>
        <v>748000</v>
      </c>
      <c r="D49" s="226">
        <f t="shared" ref="D49:I49" si="5">D35+C49</f>
        <v>878500</v>
      </c>
      <c r="E49" s="226">
        <f t="shared" si="5"/>
        <v>1009000</v>
      </c>
      <c r="F49" s="226">
        <f t="shared" si="5"/>
        <v>1457200</v>
      </c>
      <c r="G49" s="226">
        <f t="shared" si="5"/>
        <v>1587700</v>
      </c>
      <c r="H49" s="226">
        <f t="shared" si="5"/>
        <v>1718200</v>
      </c>
      <c r="I49" s="227">
        <f t="shared" si="5"/>
        <v>1875700</v>
      </c>
    </row>
    <row r="50" spans="1:9" hidden="1" x14ac:dyDescent="0.25">
      <c r="A50" s="224" t="s">
        <v>162</v>
      </c>
      <c r="B50" s="225"/>
      <c r="C50" s="228">
        <f t="shared" ref="C50:I50" si="6">C37/C49</f>
        <v>-1</v>
      </c>
      <c r="D50" s="228">
        <f t="shared" si="6"/>
        <v>-0.40608992601024474</v>
      </c>
      <c r="E50" s="228">
        <f t="shared" si="6"/>
        <v>0.29274033696729435</v>
      </c>
      <c r="F50" s="228">
        <f t="shared" si="6"/>
        <v>0.61122357946747186</v>
      </c>
      <c r="G50" s="228">
        <f t="shared" si="6"/>
        <v>1.1360301064432827</v>
      </c>
      <c r="H50" s="228">
        <f t="shared" si="6"/>
        <v>1.5811168664881854</v>
      </c>
      <c r="I50" s="229">
        <f t="shared" si="6"/>
        <v>1.9207096017486804</v>
      </c>
    </row>
    <row r="51" spans="1:9" hidden="1" x14ac:dyDescent="0.25">
      <c r="A51" s="224"/>
      <c r="B51" s="225"/>
      <c r="C51" s="225"/>
      <c r="D51" s="225"/>
      <c r="E51" s="225"/>
      <c r="F51" s="225"/>
      <c r="G51" s="225"/>
      <c r="H51" s="225"/>
      <c r="I51" s="230"/>
    </row>
    <row r="52" spans="1:9" hidden="1" x14ac:dyDescent="0.25">
      <c r="A52" s="224"/>
      <c r="B52" s="225"/>
      <c r="C52" s="225"/>
      <c r="D52" s="225"/>
      <c r="E52" s="225"/>
      <c r="F52" s="225"/>
      <c r="G52" s="225"/>
      <c r="H52" s="225"/>
      <c r="I52" s="230"/>
    </row>
    <row r="53" spans="1:9" hidden="1" x14ac:dyDescent="0.25">
      <c r="A53" s="224"/>
      <c r="B53" s="183" t="s">
        <v>163</v>
      </c>
      <c r="C53" s="183" t="s">
        <v>162</v>
      </c>
      <c r="D53" s="183" t="s">
        <v>163</v>
      </c>
      <c r="E53" s="183" t="s">
        <v>102</v>
      </c>
      <c r="F53" s="183" t="s">
        <v>206</v>
      </c>
      <c r="G53" s="225"/>
      <c r="H53" s="225"/>
      <c r="I53" s="230"/>
    </row>
    <row r="54" spans="1:9" hidden="1" x14ac:dyDescent="0.25">
      <c r="A54" s="224"/>
      <c r="B54" s="186" t="s">
        <v>95</v>
      </c>
      <c r="C54" s="185">
        <f>C50</f>
        <v>-1</v>
      </c>
      <c r="D54" s="183">
        <v>1</v>
      </c>
      <c r="E54" s="184">
        <f>C49</f>
        <v>748000</v>
      </c>
      <c r="F54" s="184">
        <f>C37</f>
        <v>-748000</v>
      </c>
      <c r="G54" s="225"/>
      <c r="H54" s="225"/>
      <c r="I54" s="230"/>
    </row>
    <row r="55" spans="1:9" hidden="1" x14ac:dyDescent="0.25">
      <c r="A55" s="224"/>
      <c r="B55" s="186" t="s">
        <v>96</v>
      </c>
      <c r="C55" s="185">
        <f>D50</f>
        <v>-0.40608992601024474</v>
      </c>
      <c r="D55" s="183">
        <v>2</v>
      </c>
      <c r="E55" s="184">
        <f>D49</f>
        <v>878500</v>
      </c>
      <c r="F55" s="184">
        <f>D37</f>
        <v>-356750</v>
      </c>
      <c r="G55" s="225"/>
      <c r="H55" s="225"/>
      <c r="I55" s="230"/>
    </row>
    <row r="56" spans="1:9" hidden="1" x14ac:dyDescent="0.25">
      <c r="A56" s="224"/>
      <c r="B56" s="186" t="s">
        <v>97</v>
      </c>
      <c r="C56" s="187">
        <f>E50</f>
        <v>0.29274033696729435</v>
      </c>
      <c r="D56" s="183">
        <v>3</v>
      </c>
      <c r="E56" s="184">
        <f>E49</f>
        <v>1009000</v>
      </c>
      <c r="F56" s="184">
        <f>E37</f>
        <v>295375</v>
      </c>
      <c r="G56" s="225"/>
      <c r="H56" s="225"/>
      <c r="I56" s="230"/>
    </row>
    <row r="57" spans="1:9" hidden="1" x14ac:dyDescent="0.25">
      <c r="A57" s="224"/>
      <c r="B57" s="186" t="s">
        <v>98</v>
      </c>
      <c r="C57" s="187">
        <f>F50</f>
        <v>0.61122357946747186</v>
      </c>
      <c r="D57" s="183">
        <v>4</v>
      </c>
      <c r="E57" s="184">
        <f>F49</f>
        <v>1457200</v>
      </c>
      <c r="F57" s="184">
        <f>F37</f>
        <v>890675</v>
      </c>
      <c r="G57" s="225"/>
      <c r="H57" s="225"/>
      <c r="I57" s="230"/>
    </row>
    <row r="58" spans="1:9" hidden="1" x14ac:dyDescent="0.25">
      <c r="A58" s="224"/>
      <c r="B58" s="186" t="s">
        <v>99</v>
      </c>
      <c r="C58" s="187">
        <f>G50</f>
        <v>1.1360301064432827</v>
      </c>
      <c r="D58" s="183">
        <v>5</v>
      </c>
      <c r="E58" s="184">
        <f>G49</f>
        <v>1587700</v>
      </c>
      <c r="F58" s="184">
        <f>G37</f>
        <v>1803675</v>
      </c>
      <c r="G58" s="225"/>
      <c r="H58" s="225"/>
      <c r="I58" s="230"/>
    </row>
    <row r="59" spans="1:9" hidden="1" x14ac:dyDescent="0.25">
      <c r="A59" s="224"/>
      <c r="B59" s="186" t="s">
        <v>100</v>
      </c>
      <c r="C59" s="187">
        <f>H50</f>
        <v>1.5811168664881854</v>
      </c>
      <c r="D59" s="183">
        <v>6</v>
      </c>
      <c r="E59" s="184">
        <f>H49</f>
        <v>1718200</v>
      </c>
      <c r="F59" s="184">
        <f>H37</f>
        <v>2716675</v>
      </c>
      <c r="G59" s="225"/>
      <c r="H59" s="225"/>
      <c r="I59" s="230"/>
    </row>
    <row r="60" spans="1:9" ht="16.5" hidden="1" thickBot="1" x14ac:dyDescent="0.3">
      <c r="A60" s="231"/>
      <c r="B60" s="232" t="s">
        <v>101</v>
      </c>
      <c r="C60" s="233">
        <f>I50</f>
        <v>1.9207096017486804</v>
      </c>
      <c r="D60" s="234">
        <v>7</v>
      </c>
      <c r="E60" s="235">
        <f>I49</f>
        <v>1875700</v>
      </c>
      <c r="F60" s="235">
        <f>I37</f>
        <v>3602675</v>
      </c>
      <c r="G60" s="236"/>
      <c r="H60" s="236"/>
      <c r="I60" s="237"/>
    </row>
    <row r="63" spans="1:9" x14ac:dyDescent="0.25">
      <c r="E63" s="278"/>
    </row>
  </sheetData>
  <sheetProtection insertRows="0" selectLockedCells="1"/>
  <mergeCells count="4">
    <mergeCell ref="A4:I4"/>
    <mergeCell ref="A8:I8"/>
    <mergeCell ref="A9:I9"/>
    <mergeCell ref="A6:I6"/>
  </mergeCells>
  <dataValidations count="1">
    <dataValidation type="list" allowBlank="1" showInputMessage="1" showErrorMessage="1" sqref="B40">
      <formula1>$B$54:$B$60</formula1>
    </dataValidation>
  </dataValidations>
  <pageMargins left="0.7" right="0.7" top="0.75" bottom="0.75" header="0.3" footer="0.3"/>
  <pageSetup paperSize="17" orientation="landscape" verticalDpi="0" r:id="rId1"/>
  <tableParts count="2">
    <tablePart r:id="rId2"/>
    <tablePart r:id="rId3"/>
  </tablePart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A1:Q28"/>
  <sheetViews>
    <sheetView zoomScale="70" zoomScaleNormal="70" workbookViewId="0">
      <selection activeCell="E33" sqref="E33"/>
    </sheetView>
  </sheetViews>
  <sheetFormatPr defaultColWidth="9.140625" defaultRowHeight="15" x14ac:dyDescent="0.25"/>
  <cols>
    <col min="1" max="1" width="182.140625" style="21" customWidth="1"/>
    <col min="2" max="2" width="9.140625" style="21"/>
    <col min="4" max="16" width="9.140625" style="21"/>
    <col min="17" max="16384" width="9.140625" style="23"/>
  </cols>
  <sheetData>
    <row r="1" spans="1:17" ht="21" x14ac:dyDescent="0.35">
      <c r="A1" s="556" t="s">
        <v>300</v>
      </c>
      <c r="B1" s="75"/>
      <c r="D1" s="75"/>
      <c r="E1" s="75"/>
      <c r="F1" s="75"/>
      <c r="G1" s="75"/>
      <c r="H1" s="75"/>
      <c r="I1" s="75"/>
      <c r="J1" s="75"/>
      <c r="K1" s="75"/>
      <c r="L1" s="75"/>
      <c r="M1" s="75"/>
      <c r="N1" s="75"/>
    </row>
    <row r="2" spans="1:17" ht="18.75" x14ac:dyDescent="0.3">
      <c r="A2" s="520" t="s">
        <v>305</v>
      </c>
      <c r="B2" s="76"/>
      <c r="D2" s="76"/>
      <c r="E2" s="76"/>
      <c r="F2" s="76"/>
      <c r="G2" s="76"/>
      <c r="H2" s="76"/>
      <c r="I2" s="76"/>
      <c r="J2" s="76"/>
      <c r="K2" s="76"/>
      <c r="L2" s="76"/>
      <c r="M2" s="76"/>
      <c r="N2" s="76"/>
    </row>
    <row r="3" spans="1:17" s="21" customFormat="1" ht="16.5" thickBot="1" x14ac:dyDescent="0.3">
      <c r="A3" s="193"/>
      <c r="B3" s="58"/>
      <c r="C3"/>
      <c r="D3" s="58"/>
      <c r="E3" s="58"/>
      <c r="F3" s="58"/>
      <c r="G3" s="58"/>
      <c r="H3" s="58"/>
      <c r="I3" s="58"/>
      <c r="J3" s="58"/>
      <c r="K3" s="58"/>
      <c r="L3" s="58"/>
      <c r="M3" s="58"/>
      <c r="N3" s="58"/>
    </row>
    <row r="4" spans="1:17" s="21" customFormat="1" ht="72" customHeight="1" thickTop="1" thickBot="1" x14ac:dyDescent="0.3">
      <c r="A4" s="295" t="s">
        <v>251</v>
      </c>
      <c r="B4" s="57"/>
      <c r="C4"/>
      <c r="D4" s="57"/>
      <c r="E4"/>
      <c r="F4" s="57"/>
      <c r="G4" s="57"/>
      <c r="H4" s="57"/>
      <c r="I4" s="57"/>
      <c r="J4" s="57"/>
      <c r="K4" s="57"/>
      <c r="L4" s="57"/>
      <c r="M4" s="57"/>
      <c r="N4" s="57"/>
      <c r="O4" s="22"/>
      <c r="P4" s="22"/>
      <c r="Q4" s="22"/>
    </row>
    <row r="5" spans="1:17" ht="15.75" thickTop="1" x14ac:dyDescent="0.25">
      <c r="A5" s="45"/>
      <c r="B5" s="38"/>
      <c r="D5" s="40"/>
      <c r="E5" s="38"/>
      <c r="F5" s="38"/>
      <c r="G5" s="38"/>
      <c r="H5" s="38"/>
      <c r="I5" s="38"/>
      <c r="J5" s="38"/>
      <c r="K5" s="38"/>
      <c r="L5" s="38"/>
      <c r="M5" s="38"/>
      <c r="N5" s="38"/>
      <c r="O5" s="22"/>
      <c r="P5" s="22"/>
      <c r="Q5" s="22"/>
    </row>
    <row r="6" spans="1:17" ht="15.75" x14ac:dyDescent="0.25">
      <c r="A6" s="567" t="s">
        <v>482</v>
      </c>
      <c r="B6" s="38"/>
      <c r="D6" s="38"/>
      <c r="E6" s="40"/>
      <c r="F6" s="38"/>
      <c r="G6" s="38"/>
      <c r="H6" s="38"/>
      <c r="I6" s="38"/>
      <c r="J6" s="38"/>
      <c r="K6" s="38"/>
      <c r="L6" s="38"/>
      <c r="M6" s="38"/>
      <c r="N6" s="38"/>
      <c r="O6" s="22"/>
      <c r="P6" s="22"/>
      <c r="Q6" s="22"/>
    </row>
    <row r="7" spans="1:17" x14ac:dyDescent="0.25">
      <c r="A7" s="44"/>
      <c r="B7" s="38"/>
      <c r="D7" s="38"/>
      <c r="E7" s="38"/>
      <c r="F7" s="37"/>
      <c r="G7" s="37"/>
      <c r="H7" s="37"/>
      <c r="I7" s="37"/>
      <c r="J7" s="37"/>
      <c r="K7" s="37"/>
      <c r="L7" s="37"/>
      <c r="M7" s="37"/>
      <c r="N7" s="37"/>
      <c r="O7" s="22"/>
      <c r="P7" s="22"/>
      <c r="Q7" s="22"/>
    </row>
    <row r="8" spans="1:17" x14ac:dyDescent="0.25">
      <c r="A8" s="45"/>
      <c r="B8" s="38"/>
      <c r="D8" s="38"/>
      <c r="E8" s="38"/>
      <c r="F8" s="40"/>
      <c r="G8" s="38"/>
      <c r="H8" s="38"/>
      <c r="I8" s="38"/>
      <c r="J8" s="38"/>
      <c r="K8" s="38"/>
      <c r="L8" s="38"/>
      <c r="M8" s="38"/>
      <c r="N8" s="38"/>
      <c r="O8" s="22"/>
      <c r="P8" s="22"/>
      <c r="Q8" s="22"/>
    </row>
    <row r="9" spans="1:17" x14ac:dyDescent="0.25">
      <c r="A9" s="45"/>
      <c r="B9" s="38"/>
      <c r="D9" s="38"/>
      <c r="E9" s="38"/>
      <c r="F9" s="38"/>
      <c r="G9" s="40"/>
      <c r="H9" s="38"/>
      <c r="I9" s="38"/>
      <c r="J9" s="38"/>
      <c r="K9" s="38"/>
      <c r="L9" s="38"/>
      <c r="M9" s="38"/>
      <c r="N9" s="38"/>
      <c r="O9" s="22"/>
      <c r="P9" s="22"/>
      <c r="Q9" s="22"/>
    </row>
    <row r="10" spans="1:17" x14ac:dyDescent="0.25">
      <c r="A10" s="45"/>
      <c r="B10" s="38"/>
      <c r="D10" s="38"/>
      <c r="E10" s="38"/>
      <c r="F10" s="38"/>
      <c r="G10" s="40"/>
      <c r="H10" s="38"/>
      <c r="I10" s="38"/>
      <c r="J10" s="38"/>
      <c r="K10" s="38"/>
      <c r="L10" s="38"/>
      <c r="M10" s="38"/>
      <c r="N10" s="38"/>
      <c r="O10" s="22"/>
      <c r="P10" s="22"/>
      <c r="Q10" s="22"/>
    </row>
    <row r="11" spans="1:17" x14ac:dyDescent="0.25">
      <c r="A11" s="45"/>
      <c r="B11" s="38"/>
      <c r="D11" s="38"/>
      <c r="E11" s="38"/>
      <c r="F11" s="38"/>
      <c r="G11" s="38"/>
      <c r="H11" s="40"/>
      <c r="I11" s="38"/>
      <c r="J11" s="38"/>
      <c r="K11" s="38"/>
      <c r="L11" s="38"/>
      <c r="M11" s="38"/>
      <c r="N11" s="38"/>
      <c r="O11" s="22"/>
      <c r="P11" s="22"/>
      <c r="Q11" s="22"/>
    </row>
    <row r="12" spans="1:17" x14ac:dyDescent="0.25">
      <c r="A12" s="45"/>
      <c r="B12" s="38"/>
      <c r="D12" s="38"/>
      <c r="E12" s="38"/>
      <c r="F12" s="38"/>
      <c r="G12" s="38"/>
      <c r="H12" s="40"/>
      <c r="I12" s="38"/>
      <c r="J12" s="38"/>
      <c r="K12" s="38"/>
      <c r="L12" s="38"/>
      <c r="M12" s="38"/>
      <c r="N12" s="38"/>
      <c r="O12" s="22"/>
      <c r="P12" s="22"/>
      <c r="Q12" s="22"/>
    </row>
    <row r="13" spans="1:17" x14ac:dyDescent="0.25">
      <c r="A13" s="45"/>
      <c r="B13" s="38"/>
      <c r="D13" s="38"/>
      <c r="E13" s="38"/>
      <c r="F13" s="38"/>
      <c r="G13" s="38"/>
      <c r="H13" s="38"/>
      <c r="I13" s="40"/>
      <c r="J13" s="38"/>
      <c r="K13" s="38"/>
      <c r="L13" s="38"/>
      <c r="M13" s="38"/>
      <c r="N13" s="38"/>
      <c r="O13" s="22"/>
      <c r="P13" s="22"/>
      <c r="Q13" s="22"/>
    </row>
    <row r="14" spans="1:17" x14ac:dyDescent="0.25">
      <c r="A14" s="45"/>
      <c r="B14" s="38"/>
      <c r="D14" s="38"/>
      <c r="E14" s="38"/>
      <c r="F14" s="38"/>
      <c r="G14" s="38"/>
      <c r="H14" s="40"/>
      <c r="I14" s="40"/>
      <c r="J14" s="40"/>
      <c r="K14" s="38"/>
      <c r="L14" s="38"/>
      <c r="M14" s="38"/>
      <c r="N14" s="38"/>
      <c r="O14" s="22"/>
      <c r="P14" s="22"/>
      <c r="Q14" s="22"/>
    </row>
    <row r="15" spans="1:17" x14ac:dyDescent="0.25">
      <c r="A15" s="45"/>
      <c r="B15" s="38"/>
      <c r="D15" s="38"/>
      <c r="E15" s="38"/>
      <c r="F15" s="38"/>
      <c r="G15" s="38"/>
      <c r="H15" s="38"/>
      <c r="I15" s="38"/>
      <c r="J15" s="38"/>
      <c r="K15" s="40"/>
      <c r="L15" s="38"/>
      <c r="M15" s="38"/>
      <c r="N15" s="38"/>
      <c r="O15" s="22"/>
      <c r="P15" s="22"/>
      <c r="Q15" s="22"/>
    </row>
    <row r="16" spans="1:17" x14ac:dyDescent="0.25">
      <c r="A16" s="45"/>
      <c r="B16" s="38"/>
      <c r="D16" s="38"/>
      <c r="E16" s="38"/>
      <c r="F16" s="38"/>
      <c r="G16" s="38"/>
      <c r="H16" s="38"/>
      <c r="I16" s="38"/>
      <c r="J16" s="38"/>
      <c r="K16" s="40"/>
      <c r="L16" s="40"/>
      <c r="M16" s="40"/>
      <c r="N16" s="38"/>
      <c r="O16" s="22"/>
      <c r="P16" s="22"/>
      <c r="Q16" s="22"/>
    </row>
    <row r="17" spans="1:17" x14ac:dyDescent="0.25">
      <c r="A17" s="45"/>
      <c r="B17" s="38"/>
      <c r="D17" s="38"/>
      <c r="E17" s="38"/>
      <c r="F17" s="38"/>
      <c r="G17" s="38"/>
      <c r="H17" s="38"/>
      <c r="I17" s="38"/>
      <c r="J17" s="38"/>
      <c r="K17" s="40"/>
      <c r="L17" s="40"/>
      <c r="M17" s="40"/>
      <c r="N17" s="40"/>
      <c r="O17" s="22"/>
      <c r="P17" s="22"/>
      <c r="Q17" s="22"/>
    </row>
    <row r="18" spans="1:17" x14ac:dyDescent="0.25">
      <c r="A18" s="44"/>
      <c r="B18" s="41"/>
      <c r="D18" s="41"/>
      <c r="E18" s="41"/>
      <c r="F18" s="41"/>
      <c r="G18" s="41"/>
      <c r="H18" s="41"/>
      <c r="I18" s="41"/>
      <c r="J18" s="41"/>
      <c r="K18" s="41"/>
      <c r="L18" s="41"/>
      <c r="M18" s="41"/>
      <c r="N18" s="41"/>
      <c r="O18" s="22"/>
      <c r="P18" s="22"/>
      <c r="Q18" s="22"/>
    </row>
    <row r="19" spans="1:17" x14ac:dyDescent="0.25">
      <c r="A19" s="44"/>
      <c r="B19" s="41"/>
      <c r="D19" s="41"/>
      <c r="E19" s="41"/>
      <c r="F19" s="41"/>
      <c r="G19" s="41"/>
      <c r="H19" s="41"/>
      <c r="I19" s="41"/>
      <c r="J19" s="41"/>
      <c r="K19" s="41"/>
      <c r="L19" s="41"/>
      <c r="M19" s="41"/>
      <c r="N19" s="41"/>
      <c r="O19" s="22"/>
      <c r="P19" s="22"/>
      <c r="Q19" s="22"/>
    </row>
    <row r="20" spans="1:17" x14ac:dyDescent="0.25">
      <c r="A20" s="22"/>
      <c r="B20" s="22"/>
      <c r="D20" s="22"/>
      <c r="E20" s="22"/>
      <c r="F20" s="22"/>
      <c r="G20" s="22"/>
      <c r="H20" s="22"/>
      <c r="I20" s="22"/>
      <c r="J20" s="22"/>
      <c r="K20" s="22"/>
      <c r="L20" s="22"/>
      <c r="M20" s="22"/>
      <c r="N20" s="22"/>
      <c r="O20" s="22"/>
      <c r="P20" s="22"/>
      <c r="Q20" s="22"/>
    </row>
    <row r="21" spans="1:17" x14ac:dyDescent="0.25">
      <c r="A21" s="30"/>
      <c r="B21" s="22"/>
      <c r="D21" s="22"/>
      <c r="E21" s="22"/>
      <c r="F21" s="22"/>
      <c r="G21" s="22"/>
      <c r="H21" s="22"/>
      <c r="I21" s="22"/>
      <c r="J21" s="22"/>
      <c r="K21" s="22"/>
      <c r="L21" s="22"/>
      <c r="M21" s="22"/>
      <c r="N21" s="22"/>
      <c r="O21" s="22"/>
      <c r="P21" s="22"/>
      <c r="Q21" s="22"/>
    </row>
    <row r="22" spans="1:17" x14ac:dyDescent="0.25">
      <c r="A22" s="22"/>
      <c r="B22" s="47"/>
      <c r="D22" s="22"/>
      <c r="E22" s="22"/>
      <c r="F22" s="22"/>
      <c r="G22" s="22"/>
      <c r="H22" s="22"/>
      <c r="I22" s="22"/>
      <c r="J22" s="22"/>
      <c r="K22" s="22"/>
      <c r="L22" s="22"/>
      <c r="M22" s="22"/>
      <c r="N22" s="22"/>
      <c r="O22" s="22"/>
      <c r="P22" s="22"/>
      <c r="Q22" s="22"/>
    </row>
    <row r="23" spans="1:17" x14ac:dyDescent="0.25">
      <c r="A23" s="22"/>
      <c r="B23" s="47"/>
      <c r="D23" s="22"/>
      <c r="E23" s="22"/>
      <c r="F23" s="22"/>
      <c r="G23" s="22"/>
      <c r="H23" s="22"/>
      <c r="I23" s="22"/>
      <c r="J23" s="22"/>
      <c r="K23" s="22"/>
      <c r="L23" s="22"/>
      <c r="M23" s="22"/>
      <c r="N23" s="22"/>
      <c r="O23" s="22"/>
      <c r="P23" s="22"/>
      <c r="Q23" s="22"/>
    </row>
    <row r="24" spans="1:17" x14ac:dyDescent="0.25">
      <c r="A24" s="29"/>
      <c r="B24" s="47"/>
      <c r="D24" s="22"/>
      <c r="E24" s="22"/>
      <c r="F24" s="22"/>
      <c r="G24" s="22"/>
      <c r="H24" s="22"/>
      <c r="I24" s="22"/>
      <c r="J24" s="22"/>
      <c r="K24" s="22"/>
      <c r="L24" s="22"/>
      <c r="M24" s="22"/>
      <c r="N24" s="22"/>
      <c r="O24" s="22"/>
      <c r="P24" s="22"/>
      <c r="Q24" s="22"/>
    </row>
    <row r="25" spans="1:17" x14ac:dyDescent="0.25">
      <c r="A25" s="22"/>
      <c r="B25" s="47"/>
      <c r="D25" s="22"/>
      <c r="E25" s="22"/>
      <c r="F25" s="22"/>
      <c r="G25" s="22"/>
      <c r="H25" s="22"/>
      <c r="I25" s="22"/>
      <c r="J25" s="22"/>
      <c r="K25" s="22"/>
      <c r="L25" s="22"/>
      <c r="M25" s="22"/>
      <c r="N25" s="22"/>
      <c r="O25" s="22"/>
      <c r="P25" s="22"/>
      <c r="Q25" s="22"/>
    </row>
    <row r="26" spans="1:17" x14ac:dyDescent="0.25">
      <c r="A26" s="22"/>
      <c r="B26" s="22"/>
      <c r="D26" s="22"/>
      <c r="E26" s="22"/>
      <c r="F26" s="22"/>
      <c r="G26" s="22"/>
      <c r="H26" s="22"/>
      <c r="I26" s="22"/>
      <c r="J26" s="22"/>
      <c r="K26" s="22"/>
      <c r="L26" s="22"/>
      <c r="M26" s="22"/>
      <c r="N26" s="22"/>
      <c r="O26" s="22"/>
      <c r="P26" s="22"/>
      <c r="Q26" s="22"/>
    </row>
    <row r="27" spans="1:17" x14ac:dyDescent="0.25">
      <c r="A27" s="22"/>
      <c r="B27" s="22"/>
      <c r="D27" s="22"/>
      <c r="E27" s="22"/>
      <c r="F27" s="22"/>
      <c r="G27" s="22"/>
      <c r="H27" s="22"/>
      <c r="I27" s="22"/>
      <c r="J27" s="22"/>
      <c r="K27" s="22"/>
      <c r="L27" s="22"/>
      <c r="M27" s="22"/>
      <c r="N27" s="22"/>
      <c r="O27" s="22"/>
      <c r="P27" s="22"/>
      <c r="Q27" s="22"/>
    </row>
    <row r="28" spans="1:17" x14ac:dyDescent="0.25">
      <c r="A28" s="22"/>
      <c r="B28" s="22"/>
      <c r="D28" s="22"/>
      <c r="E28" s="22"/>
      <c r="F28" s="22"/>
      <c r="G28" s="22"/>
      <c r="H28" s="22"/>
      <c r="I28" s="22"/>
      <c r="J28" s="22"/>
      <c r="K28" s="22"/>
      <c r="L28" s="22"/>
      <c r="M28" s="22"/>
      <c r="N28" s="22"/>
      <c r="O28" s="22"/>
      <c r="P28" s="22"/>
      <c r="Q28" s="22"/>
    </row>
  </sheetData>
  <sheetProtection formatCells="0" selectLockedCells="1"/>
  <pageMargins left="0.7" right="0.7" top="0.75" bottom="0.75" header="0.3" footer="0.3"/>
  <pageSetup paperSize="17" orientation="landscape" verticalDpi="0"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G19"/>
  <sheetViews>
    <sheetView zoomScale="70" zoomScaleNormal="70" workbookViewId="0">
      <pane ySplit="6" topLeftCell="A7" activePane="bottomLeft" state="frozen"/>
      <selection pane="bottomLeft" activeCell="G13" sqref="G13"/>
    </sheetView>
  </sheetViews>
  <sheetFormatPr defaultRowHeight="15" x14ac:dyDescent="0.25"/>
  <cols>
    <col min="1" max="1" width="92.42578125" customWidth="1"/>
    <col min="2" max="2" width="25.28515625" customWidth="1"/>
    <col min="3" max="3" width="31" customWidth="1"/>
    <col min="4" max="4" width="32.140625" customWidth="1"/>
  </cols>
  <sheetData>
    <row r="1" spans="1:7" s="24" customFormat="1" ht="21" customHeight="1" x14ac:dyDescent="0.35">
      <c r="A1" s="519" t="s">
        <v>302</v>
      </c>
      <c r="B1" s="83"/>
      <c r="C1" s="83"/>
      <c r="D1" s="83"/>
    </row>
    <row r="2" spans="1:7" s="25" customFormat="1" ht="21" x14ac:dyDescent="0.3">
      <c r="A2" s="518" t="s">
        <v>303</v>
      </c>
      <c r="B2" s="83"/>
      <c r="C2" s="83"/>
      <c r="D2" s="83"/>
    </row>
    <row r="3" spans="1:7" s="25" customFormat="1" ht="18.75" x14ac:dyDescent="0.3">
      <c r="A3" s="78"/>
      <c r="B3" s="79"/>
      <c r="C3" s="79"/>
      <c r="D3" s="79"/>
    </row>
    <row r="4" spans="1:7" s="25" customFormat="1" ht="18.75" x14ac:dyDescent="0.3">
      <c r="A4" s="557" t="s">
        <v>448</v>
      </c>
      <c r="B4" s="79"/>
      <c r="C4" s="79"/>
      <c r="D4" s="79"/>
    </row>
    <row r="5" spans="1:7" s="25" customFormat="1" ht="18.75" x14ac:dyDescent="0.3">
      <c r="A5" s="78"/>
      <c r="B5" s="79"/>
      <c r="C5" s="79"/>
      <c r="D5" s="79"/>
    </row>
    <row r="6" spans="1:7" ht="35.25" customHeight="1" x14ac:dyDescent="0.25">
      <c r="A6" s="149" t="s">
        <v>86</v>
      </c>
      <c r="B6" s="141" t="s">
        <v>255</v>
      </c>
      <c r="C6" s="141" t="s">
        <v>254</v>
      </c>
      <c r="D6" s="141" t="s">
        <v>253</v>
      </c>
    </row>
    <row r="7" spans="1:7" ht="48" customHeight="1" x14ac:dyDescent="0.25">
      <c r="A7" s="312" t="s">
        <v>229</v>
      </c>
      <c r="B7" s="255">
        <v>800000000</v>
      </c>
      <c r="C7" s="302">
        <v>1E-3</v>
      </c>
      <c r="D7" s="343">
        <f>C7*B7</f>
        <v>800000</v>
      </c>
    </row>
    <row r="8" spans="1:7" ht="51" customHeight="1" x14ac:dyDescent="0.25">
      <c r="A8" s="312" t="s">
        <v>301</v>
      </c>
      <c r="B8" s="255">
        <v>800000000</v>
      </c>
      <c r="C8" s="302">
        <v>5.0000000000000001E-4</v>
      </c>
      <c r="D8" s="343">
        <f t="shared" ref="D8:D16" si="0">C8*B8</f>
        <v>400000</v>
      </c>
    </row>
    <row r="9" spans="1:7" ht="36" customHeight="1" x14ac:dyDescent="0.25">
      <c r="A9" s="312" t="s">
        <v>230</v>
      </c>
      <c r="B9" s="255">
        <v>800000000</v>
      </c>
      <c r="C9" s="302">
        <v>1E-4</v>
      </c>
      <c r="D9" s="343">
        <f t="shared" si="0"/>
        <v>80000</v>
      </c>
      <c r="F9" s="27"/>
      <c r="G9" s="27"/>
    </row>
    <row r="10" spans="1:7" ht="36.75" customHeight="1" x14ac:dyDescent="0.25">
      <c r="A10" s="312" t="s">
        <v>231</v>
      </c>
      <c r="B10" s="255">
        <v>800000000</v>
      </c>
      <c r="C10" s="302">
        <v>1E-4</v>
      </c>
      <c r="D10" s="343">
        <f t="shared" si="0"/>
        <v>80000</v>
      </c>
      <c r="F10" s="27"/>
      <c r="G10" s="27"/>
    </row>
    <row r="11" spans="1:7" ht="52.5" customHeight="1" x14ac:dyDescent="0.25">
      <c r="A11" s="312" t="s">
        <v>232</v>
      </c>
      <c r="B11" s="255">
        <v>800000000</v>
      </c>
      <c r="C11" s="302">
        <v>5.0000000000000001E-4</v>
      </c>
      <c r="D11" s="343">
        <f t="shared" si="0"/>
        <v>400000</v>
      </c>
      <c r="F11" s="27"/>
      <c r="G11" s="27"/>
    </row>
    <row r="12" spans="1:7" ht="21" customHeight="1" x14ac:dyDescent="0.25">
      <c r="A12" s="312" t="s">
        <v>233</v>
      </c>
      <c r="B12" s="255">
        <v>800000000</v>
      </c>
      <c r="C12" s="302">
        <v>2.0000000000000001E-4</v>
      </c>
      <c r="D12" s="343">
        <f t="shared" si="0"/>
        <v>160000</v>
      </c>
      <c r="F12" s="82"/>
      <c r="G12" s="27"/>
    </row>
    <row r="13" spans="1:7" ht="36.75" customHeight="1" x14ac:dyDescent="0.25">
      <c r="A13" s="312" t="s">
        <v>252</v>
      </c>
      <c r="B13" s="255">
        <v>800000000</v>
      </c>
      <c r="C13" s="302">
        <v>1E-4</v>
      </c>
      <c r="D13" s="343">
        <f t="shared" si="0"/>
        <v>80000</v>
      </c>
      <c r="F13" s="27"/>
      <c r="G13" s="27"/>
    </row>
    <row r="14" spans="1:7" ht="66.75" customHeight="1" x14ac:dyDescent="0.25">
      <c r="A14" s="312" t="s">
        <v>234</v>
      </c>
      <c r="B14" s="255">
        <v>800000000</v>
      </c>
      <c r="C14" s="302">
        <v>2.0000000000000001E-4</v>
      </c>
      <c r="D14" s="343">
        <f t="shared" si="0"/>
        <v>160000</v>
      </c>
      <c r="F14" s="27"/>
      <c r="G14" s="27"/>
    </row>
    <row r="15" spans="1:7" ht="36" customHeight="1" x14ac:dyDescent="0.25">
      <c r="A15" s="312" t="s">
        <v>235</v>
      </c>
      <c r="B15" s="255">
        <v>800000000</v>
      </c>
      <c r="C15" s="302">
        <v>1E-4</v>
      </c>
      <c r="D15" s="343">
        <f t="shared" si="0"/>
        <v>80000</v>
      </c>
      <c r="F15" s="27"/>
      <c r="G15" s="27"/>
    </row>
    <row r="16" spans="1:7" ht="47.25" customHeight="1" x14ac:dyDescent="0.25">
      <c r="A16" s="344" t="s">
        <v>236</v>
      </c>
      <c r="B16" s="345">
        <v>800000000</v>
      </c>
      <c r="C16" s="302">
        <v>1E-4</v>
      </c>
      <c r="D16" s="343">
        <f t="shared" si="0"/>
        <v>80000</v>
      </c>
      <c r="F16" s="27"/>
      <c r="G16" s="27"/>
    </row>
    <row r="17" spans="6:7" x14ac:dyDescent="0.25">
      <c r="F17" s="27"/>
      <c r="G17" s="27"/>
    </row>
    <row r="18" spans="6:7" x14ac:dyDescent="0.25">
      <c r="F18" s="27"/>
      <c r="G18" s="27"/>
    </row>
    <row r="19" spans="6:7" x14ac:dyDescent="0.25">
      <c r="F19" s="27"/>
      <c r="G19" s="27"/>
    </row>
  </sheetData>
  <pageMargins left="0.7" right="0.7" top="0.75" bottom="0.75" header="0.3" footer="0.3"/>
  <pageSetup paperSize="17" orientation="landscape"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32"/>
  <sheetViews>
    <sheetView zoomScale="70" zoomScaleNormal="70" workbookViewId="0">
      <pane ySplit="8" topLeftCell="A9" activePane="bottomLeft" state="frozen"/>
      <selection pane="bottomLeft" activeCell="A9" sqref="A9"/>
    </sheetView>
  </sheetViews>
  <sheetFormatPr defaultColWidth="8.85546875" defaultRowHeight="15.75" x14ac:dyDescent="0.25"/>
  <cols>
    <col min="1" max="1" width="72.5703125" style="94" customWidth="1"/>
    <col min="2" max="2" width="38.28515625" style="94" customWidth="1"/>
    <col min="3" max="3" width="24.5703125" style="94" customWidth="1"/>
    <col min="4" max="16384" width="8.85546875" style="94"/>
  </cols>
  <sheetData>
    <row r="1" spans="1:17" s="117" customFormat="1" ht="18.75" customHeight="1" x14ac:dyDescent="0.35">
      <c r="A1" s="521" t="s">
        <v>300</v>
      </c>
      <c r="B1" s="116"/>
      <c r="C1" s="116"/>
      <c r="D1" s="116"/>
      <c r="E1" s="116"/>
      <c r="F1" s="116"/>
      <c r="G1" s="116"/>
      <c r="H1" s="116"/>
      <c r="I1" s="116"/>
      <c r="J1" s="116"/>
      <c r="K1" s="116"/>
      <c r="L1" s="116"/>
      <c r="M1" s="116"/>
      <c r="N1" s="116"/>
      <c r="O1" s="116"/>
    </row>
    <row r="2" spans="1:17" s="117" customFormat="1" ht="18.75" x14ac:dyDescent="0.3">
      <c r="A2" s="522" t="s">
        <v>308</v>
      </c>
      <c r="B2" s="118"/>
      <c r="C2" s="118"/>
      <c r="D2" s="118"/>
      <c r="E2" s="118"/>
      <c r="F2" s="118"/>
      <c r="G2" s="118"/>
      <c r="H2" s="118"/>
      <c r="I2" s="118"/>
      <c r="J2" s="118"/>
      <c r="K2" s="118"/>
      <c r="L2" s="118"/>
      <c r="M2" s="118"/>
      <c r="N2" s="118"/>
      <c r="O2" s="118"/>
    </row>
    <row r="3" spans="1:17" s="117" customFormat="1" ht="18" customHeight="1" thickBot="1" x14ac:dyDescent="0.3">
      <c r="A3" s="119"/>
      <c r="B3" s="120"/>
      <c r="C3" s="120"/>
      <c r="D3" s="120"/>
      <c r="E3" s="120"/>
      <c r="F3" s="120"/>
      <c r="G3" s="120"/>
      <c r="H3" s="120"/>
      <c r="I3" s="120"/>
      <c r="J3" s="120"/>
      <c r="K3" s="120"/>
      <c r="L3" s="120"/>
      <c r="M3" s="120"/>
      <c r="N3" s="120"/>
      <c r="O3" s="120"/>
    </row>
    <row r="4" spans="1:17" s="55" customFormat="1" ht="51.75" customHeight="1" thickTop="1" thickBot="1" x14ac:dyDescent="0.3">
      <c r="A4" s="619" t="s">
        <v>470</v>
      </c>
      <c r="B4" s="620"/>
      <c r="C4" s="621"/>
      <c r="D4" s="121"/>
      <c r="E4" s="121"/>
      <c r="F4" s="121"/>
      <c r="G4" s="121"/>
      <c r="H4" s="121"/>
      <c r="I4" s="121"/>
      <c r="J4" s="121"/>
      <c r="K4" s="121"/>
      <c r="L4" s="121"/>
      <c r="M4" s="121"/>
      <c r="N4" s="121"/>
      <c r="O4" s="121"/>
    </row>
    <row r="5" spans="1:17" s="55" customFormat="1" ht="21" customHeight="1" thickTop="1" x14ac:dyDescent="0.25">
      <c r="A5" s="56"/>
      <c r="B5" s="56"/>
      <c r="C5" s="56"/>
      <c r="D5" s="56"/>
      <c r="E5" s="56"/>
      <c r="F5" s="56"/>
      <c r="G5" s="56"/>
      <c r="H5" s="56"/>
      <c r="I5" s="56"/>
      <c r="J5" s="56"/>
      <c r="K5" s="56"/>
      <c r="L5" s="56"/>
      <c r="M5" s="56"/>
      <c r="N5" s="56"/>
      <c r="O5" s="56"/>
      <c r="P5" s="122"/>
      <c r="Q5" s="117"/>
    </row>
    <row r="6" spans="1:17" s="55" customFormat="1" ht="21" customHeight="1" x14ac:dyDescent="0.25">
      <c r="A6" s="560" t="s">
        <v>323</v>
      </c>
      <c r="B6" s="56"/>
      <c r="C6" s="56"/>
      <c r="D6" s="56"/>
      <c r="E6" s="56"/>
      <c r="F6" s="56"/>
      <c r="G6" s="56"/>
      <c r="H6" s="56"/>
      <c r="I6" s="56"/>
      <c r="J6" s="56"/>
      <c r="K6" s="56"/>
      <c r="L6" s="56"/>
      <c r="M6" s="56"/>
      <c r="N6" s="56"/>
      <c r="O6" s="56"/>
      <c r="P6" s="122"/>
      <c r="Q6" s="117"/>
    </row>
    <row r="7" spans="1:17" s="55" customFormat="1" x14ac:dyDescent="0.25">
      <c r="A7" s="85"/>
      <c r="B7" s="56"/>
      <c r="C7" s="56"/>
      <c r="D7" s="56"/>
      <c r="E7" s="56"/>
      <c r="F7" s="56"/>
      <c r="G7" s="56"/>
      <c r="H7" s="56"/>
      <c r="I7" s="56"/>
      <c r="J7" s="56"/>
      <c r="K7" s="56"/>
      <c r="L7" s="56"/>
      <c r="M7" s="56"/>
      <c r="N7" s="56"/>
      <c r="O7" s="56"/>
      <c r="P7" s="122"/>
      <c r="Q7" s="117"/>
    </row>
    <row r="8" spans="1:17" ht="45.75" customHeight="1" x14ac:dyDescent="0.25">
      <c r="A8" s="156" t="s">
        <v>149</v>
      </c>
      <c r="B8" s="141" t="s">
        <v>150</v>
      </c>
      <c r="C8" s="141" t="s">
        <v>156</v>
      </c>
    </row>
    <row r="9" spans="1:17" x14ac:dyDescent="0.25">
      <c r="A9" s="107" t="s">
        <v>182</v>
      </c>
      <c r="B9" s="123">
        <v>728400000</v>
      </c>
      <c r="C9" s="108">
        <v>2015</v>
      </c>
    </row>
    <row r="10" spans="1:17" x14ac:dyDescent="0.25">
      <c r="A10" s="107" t="s">
        <v>184</v>
      </c>
      <c r="B10" s="123">
        <v>638000000</v>
      </c>
      <c r="C10" s="108">
        <v>2015</v>
      </c>
    </row>
    <row r="11" spans="1:17" x14ac:dyDescent="0.25">
      <c r="A11" s="107" t="s">
        <v>166</v>
      </c>
      <c r="B11" s="123">
        <v>11250000000</v>
      </c>
      <c r="C11" s="108">
        <v>2015</v>
      </c>
    </row>
    <row r="12" spans="1:17" x14ac:dyDescent="0.25">
      <c r="A12" s="107" t="s">
        <v>181</v>
      </c>
      <c r="B12" s="123">
        <v>750000000</v>
      </c>
      <c r="C12" s="108">
        <v>2015</v>
      </c>
    </row>
    <row r="13" spans="1:17" x14ac:dyDescent="0.25">
      <c r="A13" s="107" t="s">
        <v>173</v>
      </c>
      <c r="B13" s="123">
        <v>1385000000</v>
      </c>
      <c r="C13" s="108">
        <v>2015</v>
      </c>
    </row>
    <row r="14" spans="1:17" x14ac:dyDescent="0.25">
      <c r="A14" s="107" t="s">
        <v>167</v>
      </c>
      <c r="B14" s="123">
        <v>10000000000</v>
      </c>
      <c r="C14" s="108">
        <v>2016</v>
      </c>
    </row>
    <row r="15" spans="1:17" x14ac:dyDescent="0.25">
      <c r="A15" s="107" t="s">
        <v>176</v>
      </c>
      <c r="B15" s="123">
        <v>1100000000</v>
      </c>
      <c r="C15" s="108">
        <v>2016</v>
      </c>
    </row>
    <row r="16" spans="1:17" x14ac:dyDescent="0.25">
      <c r="A16" s="107" t="s">
        <v>178</v>
      </c>
      <c r="B16" s="123">
        <v>1050000000</v>
      </c>
      <c r="C16" s="108">
        <v>2015</v>
      </c>
    </row>
    <row r="17" spans="1:3" x14ac:dyDescent="0.25">
      <c r="A17" s="107" t="s">
        <v>177</v>
      </c>
      <c r="B17" s="123">
        <v>1050000000</v>
      </c>
      <c r="C17" s="108">
        <v>2015</v>
      </c>
    </row>
    <row r="18" spans="1:3" x14ac:dyDescent="0.25">
      <c r="A18" s="107" t="s">
        <v>175</v>
      </c>
      <c r="B18" s="123">
        <v>1100000000</v>
      </c>
      <c r="C18" s="108">
        <v>2015</v>
      </c>
    </row>
    <row r="19" spans="1:3" x14ac:dyDescent="0.25">
      <c r="A19" s="107" t="s">
        <v>172</v>
      </c>
      <c r="B19" s="123">
        <v>1600000000</v>
      </c>
      <c r="C19" s="108">
        <v>2015</v>
      </c>
    </row>
    <row r="20" spans="1:3" x14ac:dyDescent="0.25">
      <c r="A20" s="107" t="s">
        <v>174</v>
      </c>
      <c r="B20" s="123">
        <v>1220000000</v>
      </c>
      <c r="C20" s="108">
        <v>2016</v>
      </c>
    </row>
    <row r="21" spans="1:3" x14ac:dyDescent="0.25">
      <c r="A21" s="107" t="s">
        <v>183</v>
      </c>
      <c r="B21" s="123">
        <v>700000000</v>
      </c>
      <c r="C21" s="108">
        <v>2016</v>
      </c>
    </row>
    <row r="22" spans="1:3" x14ac:dyDescent="0.25">
      <c r="A22" s="107" t="s">
        <v>185</v>
      </c>
      <c r="B22" s="123">
        <v>450000000</v>
      </c>
      <c r="C22" s="108">
        <v>2015</v>
      </c>
    </row>
    <row r="23" spans="1:3" x14ac:dyDescent="0.25">
      <c r="A23" s="107" t="s">
        <v>189</v>
      </c>
      <c r="B23" s="123">
        <v>225000000</v>
      </c>
      <c r="C23" s="108">
        <v>2015</v>
      </c>
    </row>
    <row r="24" spans="1:3" x14ac:dyDescent="0.25">
      <c r="A24" s="107" t="s">
        <v>180</v>
      </c>
      <c r="B24" s="123">
        <v>750000000</v>
      </c>
      <c r="C24" s="108">
        <v>2015</v>
      </c>
    </row>
    <row r="25" spans="1:3" x14ac:dyDescent="0.25">
      <c r="A25" s="107" t="s">
        <v>171</v>
      </c>
      <c r="B25" s="123">
        <v>2000000000</v>
      </c>
      <c r="C25" s="108">
        <v>2015</v>
      </c>
    </row>
    <row r="26" spans="1:3" x14ac:dyDescent="0.25">
      <c r="A26" s="107" t="s">
        <v>187</v>
      </c>
      <c r="B26" s="123">
        <v>320000000</v>
      </c>
      <c r="C26" s="108">
        <v>2015</v>
      </c>
    </row>
    <row r="27" spans="1:3" x14ac:dyDescent="0.25">
      <c r="A27" s="107" t="s">
        <v>170</v>
      </c>
      <c r="B27" s="123">
        <v>6000000000</v>
      </c>
      <c r="C27" s="108">
        <v>2016</v>
      </c>
    </row>
    <row r="28" spans="1:3" x14ac:dyDescent="0.25">
      <c r="A28" s="107" t="s">
        <v>179</v>
      </c>
      <c r="B28" s="123">
        <v>800000000</v>
      </c>
      <c r="C28" s="108">
        <v>2016</v>
      </c>
    </row>
    <row r="29" spans="1:3" x14ac:dyDescent="0.25">
      <c r="A29" s="107" t="s">
        <v>188</v>
      </c>
      <c r="B29" s="123">
        <v>250000000</v>
      </c>
      <c r="C29" s="108">
        <v>2015</v>
      </c>
    </row>
    <row r="30" spans="1:3" x14ac:dyDescent="0.25">
      <c r="A30" s="107" t="s">
        <v>168</v>
      </c>
      <c r="B30" s="123">
        <v>3435000000</v>
      </c>
      <c r="C30" s="108">
        <v>2015</v>
      </c>
    </row>
    <row r="31" spans="1:3" x14ac:dyDescent="0.25">
      <c r="A31" s="107" t="s">
        <v>169</v>
      </c>
      <c r="B31" s="123">
        <v>2650000000</v>
      </c>
      <c r="C31" s="108">
        <v>2015</v>
      </c>
    </row>
    <row r="32" spans="1:3" x14ac:dyDescent="0.25">
      <c r="A32" s="107" t="s">
        <v>186</v>
      </c>
      <c r="B32" s="123">
        <v>400000000</v>
      </c>
      <c r="C32" s="108">
        <v>2015</v>
      </c>
    </row>
  </sheetData>
  <sortState ref="A2:C25">
    <sortCondition ref="A2:A25"/>
  </sortState>
  <mergeCells count="1">
    <mergeCell ref="A4:C4"/>
  </mergeCells>
  <pageMargins left="0.7" right="0.7" top="0.75" bottom="0.75" header="0.3" footer="0.3"/>
  <pageSetup paperSize="17" orientation="landscape" verticalDpi="0" r:id="rId1"/>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A1:P17"/>
  <sheetViews>
    <sheetView tabSelected="1" zoomScale="70" zoomScaleNormal="70" workbookViewId="0">
      <pane ySplit="8" topLeftCell="A9" activePane="bottomLeft" state="frozen"/>
      <selection pane="bottomLeft" activeCell="P13" sqref="P13"/>
    </sheetView>
  </sheetViews>
  <sheetFormatPr defaultColWidth="8.85546875" defaultRowHeight="15.75" x14ac:dyDescent="0.25"/>
  <cols>
    <col min="1" max="1" width="42.5703125" style="94" bestFit="1" customWidth="1"/>
    <col min="2" max="2" width="42.28515625" style="94" customWidth="1"/>
    <col min="3" max="3" width="16" style="94" customWidth="1"/>
    <col min="4" max="4" width="9.140625" style="94" customWidth="1"/>
    <col min="5" max="5" width="14.7109375" style="94" customWidth="1"/>
    <col min="6" max="16384" width="8.85546875" style="94"/>
  </cols>
  <sheetData>
    <row r="1" spans="1:16" s="117" customFormat="1" ht="21" x14ac:dyDescent="0.25">
      <c r="A1" s="523" t="s">
        <v>292</v>
      </c>
      <c r="B1" s="124"/>
      <c r="C1" s="124"/>
      <c r="D1" s="124"/>
      <c r="E1" s="124"/>
      <c r="F1" s="124"/>
      <c r="G1" s="124"/>
      <c r="H1" s="124"/>
      <c r="I1" s="124"/>
      <c r="J1" s="120"/>
      <c r="K1" s="119"/>
      <c r="L1" s="119"/>
      <c r="M1" s="119"/>
      <c r="N1" s="119"/>
      <c r="O1" s="119"/>
    </row>
    <row r="2" spans="1:16" s="117" customFormat="1" ht="18.75" x14ac:dyDescent="0.25">
      <c r="A2" s="524" t="s">
        <v>307</v>
      </c>
      <c r="B2" s="124"/>
      <c r="C2" s="124"/>
      <c r="D2" s="124"/>
      <c r="E2" s="124"/>
      <c r="F2" s="124"/>
      <c r="G2" s="124"/>
      <c r="H2" s="124"/>
      <c r="I2" s="124"/>
      <c r="J2" s="119"/>
      <c r="K2" s="119"/>
      <c r="L2" s="119"/>
      <c r="M2" s="119"/>
      <c r="N2" s="119"/>
      <c r="O2" s="119"/>
    </row>
    <row r="3" spans="1:16" s="117" customFormat="1" ht="20.25" customHeight="1" thickBot="1" x14ac:dyDescent="0.3">
      <c r="A3" s="119"/>
      <c r="B3" s="119"/>
      <c r="C3" s="119"/>
      <c r="D3" s="119"/>
      <c r="E3" s="119"/>
      <c r="F3" s="119"/>
      <c r="G3" s="119"/>
      <c r="H3" s="119"/>
      <c r="I3" s="119"/>
      <c r="J3" s="119"/>
      <c r="K3" s="119"/>
      <c r="L3" s="119"/>
      <c r="M3" s="119"/>
      <c r="N3" s="119"/>
      <c r="O3" s="119"/>
    </row>
    <row r="4" spans="1:16" s="117" customFormat="1" ht="33.75" customHeight="1" thickTop="1" thickBot="1" x14ac:dyDescent="0.3">
      <c r="A4" s="622" t="s">
        <v>471</v>
      </c>
      <c r="B4" s="623"/>
      <c r="C4" s="623"/>
      <c r="D4" s="623"/>
      <c r="E4" s="624"/>
      <c r="F4" s="607"/>
      <c r="G4" s="607"/>
      <c r="H4" s="607"/>
      <c r="I4" s="607"/>
      <c r="J4" s="53"/>
      <c r="K4" s="53"/>
      <c r="L4" s="53"/>
      <c r="M4" s="53"/>
      <c r="N4" s="53"/>
      <c r="O4" s="53"/>
      <c r="P4" s="122"/>
    </row>
    <row r="5" spans="1:16" ht="16.5" thickTop="1" x14ac:dyDescent="0.25">
      <c r="A5" s="86"/>
      <c r="B5" s="86"/>
      <c r="C5" s="86"/>
    </row>
    <row r="6" spans="1:16" x14ac:dyDescent="0.25">
      <c r="A6" s="561" t="s">
        <v>324</v>
      </c>
      <c r="B6" s="86"/>
      <c r="C6" s="86"/>
    </row>
    <row r="7" spans="1:16" x14ac:dyDescent="0.25">
      <c r="A7" s="86"/>
      <c r="B7" s="86"/>
      <c r="C7" s="86"/>
    </row>
    <row r="8" spans="1:16" ht="63" x14ac:dyDescent="0.25">
      <c r="A8" s="156" t="s">
        <v>144</v>
      </c>
      <c r="B8" s="141" t="s">
        <v>226</v>
      </c>
      <c r="C8" s="141" t="s">
        <v>227</v>
      </c>
    </row>
    <row r="9" spans="1:16" x14ac:dyDescent="0.25">
      <c r="A9" s="107" t="s">
        <v>91</v>
      </c>
      <c r="B9" s="108">
        <v>3</v>
      </c>
      <c r="C9" s="332">
        <f>CEILING('Bidding - BCA'!C56*8,2)/8</f>
        <v>7</v>
      </c>
      <c r="E9" s="125"/>
      <c r="F9" s="126"/>
    </row>
    <row r="10" spans="1:16" x14ac:dyDescent="0.25">
      <c r="A10" s="107" t="s">
        <v>130</v>
      </c>
      <c r="B10" s="127">
        <v>3</v>
      </c>
      <c r="C10" s="333">
        <f>CEILING('PS&amp;E - BCA'!C53*8,2)/8</f>
        <v>3.25</v>
      </c>
      <c r="E10" s="125"/>
      <c r="F10" s="126"/>
    </row>
    <row r="11" spans="1:16" x14ac:dyDescent="0.25">
      <c r="A11" s="107" t="s">
        <v>92</v>
      </c>
      <c r="B11" s="108">
        <v>2</v>
      </c>
      <c r="C11" s="332">
        <f>CEILING('Dig Review - BCA'!C55*8,2)/8</f>
        <v>7.75</v>
      </c>
      <c r="E11" s="125"/>
      <c r="F11" s="126"/>
    </row>
    <row r="12" spans="1:16" x14ac:dyDescent="0.25">
      <c r="A12" s="107" t="s">
        <v>133</v>
      </c>
      <c r="B12" s="108">
        <v>4</v>
      </c>
      <c r="C12" s="332">
        <f>CEILING('PCM - BCA'!C54*8,2)/8</f>
        <v>2.5</v>
      </c>
      <c r="E12" s="125"/>
      <c r="F12" s="126"/>
    </row>
    <row r="13" spans="1:16" ht="46.5" customHeight="1" x14ac:dyDescent="0.25">
      <c r="A13" s="144" t="s">
        <v>193</v>
      </c>
      <c r="B13" s="108">
        <v>5</v>
      </c>
      <c r="C13" s="332">
        <f>CEILING('Project Collab - BCA'!C54*8,2)/8</f>
        <v>2.5</v>
      </c>
      <c r="E13" s="125"/>
      <c r="F13" s="126"/>
    </row>
    <row r="14" spans="1:16" x14ac:dyDescent="0.25">
      <c r="A14" s="107" t="s">
        <v>194</v>
      </c>
      <c r="B14" s="108">
        <v>3</v>
      </c>
      <c r="C14" s="332">
        <f>CEILING('Dig As-Builts - BCA'!C53*8,2)/8</f>
        <v>1.25</v>
      </c>
      <c r="E14" s="125"/>
      <c r="F14" s="126"/>
    </row>
    <row r="15" spans="1:16" x14ac:dyDescent="0.25">
      <c r="A15" s="107" t="s">
        <v>195</v>
      </c>
      <c r="B15" s="108">
        <v>3</v>
      </c>
      <c r="C15" s="332">
        <f>CEILING('Mobile - BCA'!C60*8,2)/8</f>
        <v>2</v>
      </c>
      <c r="E15" s="125"/>
      <c r="F15" s="126"/>
    </row>
    <row r="17" spans="1:6" x14ac:dyDescent="0.25">
      <c r="A17" s="565" t="s">
        <v>472</v>
      </c>
      <c r="F17" s="565" t="s">
        <v>473</v>
      </c>
    </row>
  </sheetData>
  <sortState ref="A3:C9">
    <sortCondition descending="1" ref="C3:C9"/>
  </sortState>
  <mergeCells count="1">
    <mergeCell ref="A4:E4"/>
  </mergeCells>
  <pageMargins left="0.7" right="0.7" top="0.75" bottom="0.75" header="0.3" footer="0.3"/>
  <pageSetup paperSize="17" scale="75" orientation="landscape" r:id="rId1"/>
  <drawing r:id="rId2"/>
  <tableParts count="1">
    <tablePart r:id="rId3"/>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S16"/>
  <sheetViews>
    <sheetView zoomScale="70" zoomScaleNormal="70" workbookViewId="0">
      <pane ySplit="11" topLeftCell="A14" activePane="bottomLeft" state="frozen"/>
      <selection activeCell="A14" sqref="A14"/>
      <selection pane="bottomLeft" activeCell="C20" sqref="C20"/>
    </sheetView>
  </sheetViews>
  <sheetFormatPr defaultColWidth="9.140625" defaultRowHeight="15.75" x14ac:dyDescent="0.25"/>
  <cols>
    <col min="1" max="1" width="44" style="55" customWidth="1"/>
    <col min="2" max="2" width="47.7109375" style="55" customWidth="1"/>
    <col min="3" max="3" width="84.42578125" style="145" customWidth="1"/>
    <col min="4" max="4" width="92.5703125" style="145" customWidth="1"/>
    <col min="5" max="5" width="14.5703125" style="145" customWidth="1"/>
    <col min="6" max="7" width="12.28515625" style="145" bestFit="1" customWidth="1"/>
    <col min="8" max="8" width="20.140625" style="145" customWidth="1"/>
    <col min="9" max="9" width="15.42578125" style="145" customWidth="1"/>
    <col min="10" max="14" width="16.42578125" style="55" customWidth="1"/>
    <col min="15" max="15" width="16.42578125" style="145" customWidth="1"/>
    <col min="16" max="16" width="16.28515625" style="55" bestFit="1" customWidth="1"/>
    <col min="17" max="16384" width="9.140625" style="55"/>
  </cols>
  <sheetData>
    <row r="1" spans="1:19" s="94" customFormat="1" ht="26.25" customHeight="1" x14ac:dyDescent="0.35">
      <c r="A1" s="519" t="s">
        <v>300</v>
      </c>
    </row>
    <row r="2" spans="1:19" s="94" customFormat="1" ht="18.75" x14ac:dyDescent="0.3">
      <c r="A2" s="518" t="s">
        <v>148</v>
      </c>
    </row>
    <row r="3" spans="1:19" ht="19.5" customHeight="1" thickBot="1" x14ac:dyDescent="0.3">
      <c r="A3" s="120"/>
      <c r="B3" s="120"/>
      <c r="C3" s="120"/>
      <c r="D3" s="120"/>
      <c r="E3" s="120"/>
      <c r="F3" s="120"/>
      <c r="G3" s="120"/>
      <c r="H3" s="120"/>
      <c r="I3" s="120"/>
      <c r="J3" s="120"/>
      <c r="K3" s="120"/>
      <c r="L3" s="120"/>
      <c r="M3" s="120"/>
      <c r="N3" s="120"/>
      <c r="O3" s="120"/>
    </row>
    <row r="4" spans="1:19" ht="69" customHeight="1" thickTop="1" thickBot="1" x14ac:dyDescent="0.3">
      <c r="A4" s="626" t="s">
        <v>263</v>
      </c>
      <c r="B4" s="627"/>
      <c r="C4" s="627"/>
      <c r="D4" s="628"/>
      <c r="E4" s="81"/>
      <c r="F4" s="81"/>
      <c r="G4" s="81"/>
      <c r="H4" s="81"/>
      <c r="I4" s="81"/>
      <c r="J4" s="81"/>
      <c r="K4" s="81"/>
      <c r="L4" s="81"/>
      <c r="M4" s="81"/>
      <c r="N4" s="81"/>
      <c r="O4" s="81"/>
      <c r="P4" s="128"/>
    </row>
    <row r="5" spans="1:19" ht="16.5" thickTop="1" x14ac:dyDescent="0.25">
      <c r="A5" s="129"/>
      <c r="B5" s="129"/>
      <c r="C5" s="57"/>
      <c r="D5" s="130"/>
      <c r="E5" s="131"/>
      <c r="F5" s="130"/>
      <c r="G5" s="131"/>
      <c r="H5" s="131"/>
      <c r="I5" s="130"/>
      <c r="J5" s="132"/>
      <c r="K5" s="133"/>
      <c r="L5" s="117"/>
      <c r="M5" s="117"/>
      <c r="N5" s="117"/>
      <c r="O5" s="133"/>
      <c r="P5" s="128"/>
    </row>
    <row r="6" spans="1:19" s="117" customFormat="1" ht="18.75" x14ac:dyDescent="0.3">
      <c r="A6" s="527" t="s">
        <v>272</v>
      </c>
      <c r="B6" s="253"/>
      <c r="C6" s="253"/>
      <c r="D6" s="253"/>
      <c r="E6" s="252"/>
      <c r="F6" s="252"/>
      <c r="G6" s="252"/>
      <c r="H6" s="252"/>
      <c r="I6" s="252"/>
      <c r="J6" s="252"/>
      <c r="K6" s="120"/>
      <c r="L6" s="120"/>
      <c r="M6" s="120"/>
      <c r="N6" s="120"/>
      <c r="O6" s="135"/>
      <c r="P6" s="136"/>
      <c r="Q6" s="133"/>
      <c r="R6" s="133"/>
      <c r="S6" s="133"/>
    </row>
    <row r="7" spans="1:19" s="117" customFormat="1" ht="83.25" customHeight="1" x14ac:dyDescent="0.25">
      <c r="A7" s="625" t="s">
        <v>489</v>
      </c>
      <c r="B7" s="625"/>
      <c r="C7" s="625"/>
      <c r="D7" s="625"/>
      <c r="E7" s="92"/>
      <c r="F7" s="92"/>
      <c r="G7" s="92"/>
      <c r="H7" s="92"/>
      <c r="I7" s="92"/>
      <c r="J7" s="92"/>
      <c r="K7" s="92"/>
      <c r="L7" s="92"/>
      <c r="M7" s="92"/>
      <c r="N7" s="92"/>
      <c r="O7" s="92"/>
      <c r="P7" s="136"/>
      <c r="Q7" s="133"/>
      <c r="R7" s="133"/>
      <c r="S7" s="133"/>
    </row>
    <row r="8" spans="1:19" s="117" customFormat="1" ht="19.5" customHeight="1" x14ac:dyDescent="0.25">
      <c r="A8" s="137"/>
      <c r="B8" s="135"/>
      <c r="C8" s="135"/>
      <c r="D8" s="135"/>
      <c r="E8" s="135"/>
      <c r="F8" s="135"/>
      <c r="G8" s="135"/>
      <c r="H8" s="135"/>
      <c r="I8" s="135"/>
      <c r="J8" s="135"/>
      <c r="K8" s="135"/>
      <c r="L8" s="135"/>
      <c r="M8" s="135"/>
      <c r="N8" s="135"/>
      <c r="O8" s="135"/>
      <c r="P8" s="136"/>
      <c r="Q8" s="133"/>
      <c r="R8" s="133"/>
      <c r="S8" s="133"/>
    </row>
    <row r="9" spans="1:19" s="117" customFormat="1" x14ac:dyDescent="0.25">
      <c r="A9" s="543" t="s">
        <v>463</v>
      </c>
      <c r="B9" s="135"/>
      <c r="C9" s="135"/>
      <c r="D9" s="135"/>
      <c r="E9" s="135"/>
      <c r="F9" s="135"/>
      <c r="G9" s="135"/>
      <c r="H9" s="135"/>
      <c r="I9" s="135"/>
      <c r="J9" s="135"/>
      <c r="K9" s="135"/>
      <c r="L9" s="59"/>
      <c r="M9" s="59"/>
      <c r="N9" s="59"/>
      <c r="O9" s="59"/>
      <c r="P9" s="136"/>
      <c r="Q9" s="133"/>
      <c r="R9" s="133"/>
      <c r="S9" s="133"/>
    </row>
    <row r="10" spans="1:19" ht="10.5" customHeight="1" x14ac:dyDescent="0.25">
      <c r="A10" s="138"/>
      <c r="B10" s="138"/>
      <c r="C10" s="138"/>
      <c r="D10" s="138"/>
      <c r="E10" s="139"/>
      <c r="F10" s="138"/>
      <c r="G10" s="138"/>
      <c r="H10" s="138"/>
      <c r="I10" s="138"/>
      <c r="J10" s="138"/>
      <c r="K10" s="138"/>
      <c r="L10" s="138"/>
      <c r="M10" s="138"/>
      <c r="N10" s="138"/>
      <c r="O10" s="138"/>
      <c r="P10" s="90"/>
      <c r="Q10" s="133"/>
      <c r="R10" s="133"/>
      <c r="S10" s="133"/>
    </row>
    <row r="11" spans="1:19" s="117" customFormat="1" x14ac:dyDescent="0.25">
      <c r="A11" s="140" t="s">
        <v>313</v>
      </c>
      <c r="B11" s="141" t="s">
        <v>271</v>
      </c>
      <c r="C11" s="142" t="s">
        <v>293</v>
      </c>
      <c r="D11" s="142" t="s">
        <v>310</v>
      </c>
      <c r="E11" s="143"/>
      <c r="F11" s="143"/>
      <c r="G11" s="143"/>
      <c r="H11" s="143"/>
      <c r="I11" s="143"/>
      <c r="J11" s="143"/>
      <c r="K11" s="133"/>
      <c r="L11" s="133"/>
      <c r="M11" s="133"/>
      <c r="N11" s="133"/>
      <c r="O11" s="133"/>
      <c r="P11" s="133"/>
      <c r="Q11" s="133"/>
      <c r="R11" s="133"/>
      <c r="S11" s="133"/>
    </row>
    <row r="12" spans="1:19" s="117" customFormat="1" ht="35.25" customHeight="1" x14ac:dyDescent="0.25">
      <c r="A12" s="511" t="s">
        <v>115</v>
      </c>
      <c r="B12" s="504">
        <v>800000000</v>
      </c>
      <c r="C12" s="516" t="s">
        <v>281</v>
      </c>
      <c r="D12" s="516" t="s">
        <v>306</v>
      </c>
      <c r="E12" s="143"/>
      <c r="F12" s="143"/>
      <c r="G12" s="143"/>
      <c r="H12" s="143"/>
      <c r="I12" s="143"/>
      <c r="J12" s="143"/>
      <c r="K12" s="133"/>
      <c r="L12" s="133"/>
      <c r="M12" s="133"/>
      <c r="N12" s="133"/>
      <c r="O12" s="133"/>
      <c r="P12" s="133"/>
      <c r="Q12" s="133"/>
      <c r="R12" s="133"/>
      <c r="S12" s="133"/>
    </row>
    <row r="13" spans="1:19" s="117" customFormat="1" ht="68.25" customHeight="1" x14ac:dyDescent="0.25">
      <c r="A13" s="511" t="s">
        <v>113</v>
      </c>
      <c r="B13" s="512">
        <v>2.5000000000000001E-3</v>
      </c>
      <c r="C13" s="516" t="s">
        <v>267</v>
      </c>
      <c r="D13" s="516" t="s">
        <v>282</v>
      </c>
      <c r="E13" s="143"/>
      <c r="F13" s="143"/>
      <c r="G13" s="143"/>
      <c r="H13" s="143"/>
      <c r="I13" s="143"/>
      <c r="J13" s="143"/>
      <c r="K13" s="133"/>
      <c r="L13" s="133"/>
      <c r="M13" s="133"/>
      <c r="N13" s="133"/>
      <c r="O13" s="133"/>
      <c r="P13" s="133"/>
      <c r="Q13" s="133"/>
      <c r="R13" s="133"/>
      <c r="S13" s="133"/>
    </row>
    <row r="14" spans="1:19" s="117" customFormat="1" ht="163.5" customHeight="1" x14ac:dyDescent="0.25">
      <c r="A14" s="513" t="s">
        <v>147</v>
      </c>
      <c r="B14" s="514">
        <v>12</v>
      </c>
      <c r="C14" s="517" t="s">
        <v>268</v>
      </c>
      <c r="D14" s="517" t="s">
        <v>314</v>
      </c>
      <c r="E14" s="143"/>
      <c r="F14" s="143"/>
      <c r="G14" s="143"/>
      <c r="H14" s="143"/>
      <c r="I14" s="143"/>
      <c r="J14" s="143"/>
      <c r="K14" s="133"/>
      <c r="L14" s="133"/>
      <c r="M14" s="133"/>
      <c r="N14" s="133"/>
      <c r="O14" s="133"/>
      <c r="P14" s="133"/>
      <c r="Q14" s="133"/>
      <c r="R14" s="133"/>
      <c r="S14" s="133"/>
    </row>
    <row r="15" spans="1:19" s="117" customFormat="1" ht="30" customHeight="1" x14ac:dyDescent="0.25">
      <c r="A15" s="515" t="s">
        <v>146</v>
      </c>
      <c r="B15" s="504">
        <v>65</v>
      </c>
      <c r="C15" s="517" t="s">
        <v>269</v>
      </c>
      <c r="D15" s="516" t="s">
        <v>306</v>
      </c>
      <c r="E15" s="143"/>
      <c r="F15" s="143"/>
      <c r="G15" s="143"/>
      <c r="H15" s="143"/>
      <c r="I15" s="143"/>
      <c r="J15" s="143"/>
      <c r="K15" s="133"/>
      <c r="L15" s="133"/>
      <c r="M15" s="133"/>
      <c r="N15" s="133"/>
      <c r="O15" s="133"/>
      <c r="P15" s="133"/>
      <c r="Q15" s="133"/>
      <c r="R15" s="133"/>
      <c r="S15" s="133"/>
    </row>
    <row r="16" spans="1:19" s="117" customFormat="1" ht="30" customHeight="1" x14ac:dyDescent="0.25">
      <c r="A16" s="515" t="s">
        <v>109</v>
      </c>
      <c r="B16" s="514">
        <v>300</v>
      </c>
      <c r="C16" s="516" t="s">
        <v>270</v>
      </c>
      <c r="D16" s="516" t="s">
        <v>306</v>
      </c>
      <c r="E16" s="143"/>
      <c r="F16" s="143"/>
      <c r="G16" s="143"/>
      <c r="H16" s="143"/>
      <c r="I16" s="143"/>
      <c r="J16" s="143"/>
      <c r="K16" s="133"/>
      <c r="L16" s="133"/>
      <c r="M16" s="133"/>
      <c r="N16" s="133"/>
      <c r="O16" s="133"/>
      <c r="P16" s="133"/>
      <c r="Q16" s="133"/>
      <c r="R16" s="133"/>
      <c r="S16" s="133"/>
    </row>
  </sheetData>
  <sheetProtection insertColumns="0" insertRows="0" selectLockedCells="1"/>
  <mergeCells count="2">
    <mergeCell ref="A7:D7"/>
    <mergeCell ref="A4:D4"/>
  </mergeCells>
  <pageMargins left="0.7" right="0.7" top="0.75" bottom="0.75" header="0.3" footer="0.3"/>
  <pageSetup paperSize="17" scale="70" fitToWidth="0" fitToHeight="0" orientation="landscape" verticalDpi="1200" r:id="rId1"/>
  <tableParts count="1">
    <tablePart r:id="rId2"/>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Q13"/>
  <sheetViews>
    <sheetView zoomScale="70" zoomScaleNormal="70" workbookViewId="0">
      <pane ySplit="11" topLeftCell="A12" activePane="bottomLeft" state="frozen"/>
      <selection activeCell="D34" sqref="D34"/>
      <selection pane="bottomLeft"/>
    </sheetView>
  </sheetViews>
  <sheetFormatPr defaultColWidth="8.85546875" defaultRowHeight="15.75" x14ac:dyDescent="0.25"/>
  <cols>
    <col min="1" max="1" width="50.42578125" style="94" customWidth="1"/>
    <col min="2" max="2" width="74.42578125" style="94" bestFit="1" customWidth="1"/>
    <col min="3" max="3" width="27.42578125" style="94" customWidth="1"/>
    <col min="4" max="4" width="15.140625" style="94" customWidth="1"/>
    <col min="5" max="6" width="15.28515625" style="94" customWidth="1"/>
    <col min="7" max="7" width="14.28515625" style="94" customWidth="1"/>
    <col min="8" max="8" width="14.42578125" style="94" customWidth="1"/>
    <col min="9" max="9" width="15.140625" style="94" customWidth="1"/>
    <col min="10" max="10" width="16.140625" style="94" customWidth="1"/>
    <col min="11" max="17" width="8.85546875" style="122"/>
    <col min="18" max="16384" width="8.85546875" style="94"/>
  </cols>
  <sheetData>
    <row r="1" spans="1:17" ht="21" x14ac:dyDescent="0.35">
      <c r="A1" s="525" t="s">
        <v>292</v>
      </c>
    </row>
    <row r="2" spans="1:17" ht="18.75" x14ac:dyDescent="0.3">
      <c r="A2" s="526" t="s">
        <v>148</v>
      </c>
    </row>
    <row r="3" spans="1:17" ht="16.5" thickBot="1" x14ac:dyDescent="0.3">
      <c r="A3" s="120"/>
      <c r="B3" s="120"/>
      <c r="C3" s="120"/>
      <c r="D3" s="120"/>
      <c r="E3" s="120"/>
      <c r="F3" s="120"/>
      <c r="G3" s="120"/>
      <c r="H3" s="120"/>
      <c r="I3" s="120"/>
      <c r="J3" s="120"/>
      <c r="K3" s="120"/>
      <c r="L3" s="120"/>
      <c r="M3" s="120"/>
      <c r="N3" s="120"/>
      <c r="O3" s="120"/>
    </row>
    <row r="4" spans="1:17" ht="67.5" customHeight="1" thickTop="1" thickBot="1" x14ac:dyDescent="0.3">
      <c r="A4" s="626" t="s">
        <v>263</v>
      </c>
      <c r="B4" s="627"/>
      <c r="C4" s="627"/>
      <c r="D4" s="627"/>
      <c r="E4" s="627"/>
      <c r="F4" s="627"/>
      <c r="G4" s="627"/>
      <c r="H4" s="627"/>
      <c r="I4" s="627"/>
      <c r="J4" s="628"/>
      <c r="K4" s="81"/>
      <c r="L4" s="81"/>
      <c r="M4" s="81"/>
      <c r="N4" s="81"/>
      <c r="O4" s="81"/>
    </row>
    <row r="5" spans="1:17" ht="16.5" thickTop="1" x14ac:dyDescent="0.25">
      <c r="A5" s="80"/>
      <c r="B5" s="80"/>
      <c r="C5" s="80"/>
      <c r="D5" s="80"/>
      <c r="E5" s="80"/>
      <c r="F5" s="80"/>
      <c r="G5" s="80"/>
      <c r="H5" s="80"/>
      <c r="I5" s="80"/>
      <c r="J5" s="80"/>
      <c r="K5" s="80"/>
      <c r="L5" s="80"/>
      <c r="M5" s="80"/>
      <c r="N5" s="80"/>
      <c r="O5" s="80"/>
    </row>
    <row r="6" spans="1:17" s="95" customFormat="1" ht="18.75" x14ac:dyDescent="0.3">
      <c r="A6" s="528" t="s">
        <v>272</v>
      </c>
      <c r="B6" s="87"/>
      <c r="C6" s="87"/>
      <c r="D6" s="87"/>
      <c r="E6" s="87"/>
      <c r="F6" s="87"/>
      <c r="G6" s="87"/>
      <c r="H6" s="87"/>
      <c r="I6" s="87"/>
      <c r="J6" s="87"/>
      <c r="K6" s="120"/>
      <c r="L6" s="120"/>
      <c r="M6" s="120"/>
      <c r="N6" s="120"/>
      <c r="O6" s="135"/>
      <c r="P6" s="109"/>
      <c r="Q6" s="109"/>
    </row>
    <row r="7" spans="1:17" s="95" customFormat="1" ht="84" customHeight="1" x14ac:dyDescent="0.25">
      <c r="A7" s="629" t="s">
        <v>496</v>
      </c>
      <c r="B7" s="630"/>
      <c r="C7" s="630"/>
      <c r="D7" s="630"/>
      <c r="E7" s="630"/>
      <c r="F7" s="630"/>
      <c r="G7" s="630"/>
      <c r="H7" s="630"/>
      <c r="I7" s="630"/>
      <c r="J7" s="631"/>
      <c r="K7" s="92"/>
      <c r="L7" s="92"/>
      <c r="M7" s="92"/>
      <c r="N7" s="92"/>
      <c r="O7" s="92"/>
      <c r="P7" s="109"/>
      <c r="Q7" s="109"/>
    </row>
    <row r="9" spans="1:17" x14ac:dyDescent="0.25">
      <c r="A9" s="544" t="s">
        <v>464</v>
      </c>
      <c r="B9" s="138"/>
      <c r="C9" s="138"/>
      <c r="D9" s="138"/>
      <c r="E9" s="138"/>
      <c r="F9" s="138"/>
      <c r="G9" s="138"/>
      <c r="H9" s="138"/>
      <c r="I9" s="138"/>
      <c r="J9" s="138"/>
    </row>
    <row r="10" spans="1:17" x14ac:dyDescent="0.25">
      <c r="A10" s="146"/>
      <c r="B10" s="120"/>
      <c r="C10" s="120"/>
      <c r="D10" s="147"/>
      <c r="E10" s="120"/>
      <c r="F10" s="120"/>
      <c r="G10" s="120"/>
      <c r="H10" s="148"/>
      <c r="I10" s="147"/>
      <c r="J10" s="138"/>
    </row>
    <row r="11" spans="1:17" ht="47.25" x14ac:dyDescent="0.25">
      <c r="A11" s="352" t="s">
        <v>311</v>
      </c>
      <c r="B11" s="140" t="s">
        <v>312</v>
      </c>
      <c r="C11" s="156" t="s">
        <v>264</v>
      </c>
      <c r="D11" s="156" t="s">
        <v>315</v>
      </c>
      <c r="E11" s="141" t="s">
        <v>316</v>
      </c>
      <c r="F11" s="141" t="s">
        <v>317</v>
      </c>
      <c r="G11" s="141" t="s">
        <v>318</v>
      </c>
      <c r="H11" s="141" t="s">
        <v>319</v>
      </c>
      <c r="I11" s="141" t="s">
        <v>320</v>
      </c>
      <c r="J11" s="353" t="s">
        <v>321</v>
      </c>
    </row>
    <row r="12" spans="1:17" ht="79.5" customHeight="1" x14ac:dyDescent="0.25">
      <c r="A12" s="502" t="s">
        <v>139</v>
      </c>
      <c r="B12" s="508" t="s">
        <v>265</v>
      </c>
      <c r="C12" s="509">
        <f>'Bidding - Inputs 1'!B12*'Bidding - Inputs 1'!$B13</f>
        <v>2000000</v>
      </c>
      <c r="D12" s="507">
        <v>0</v>
      </c>
      <c r="E12" s="507">
        <v>0.25</v>
      </c>
      <c r="F12" s="507">
        <v>0.75</v>
      </c>
      <c r="G12" s="507">
        <v>1</v>
      </c>
      <c r="H12" s="507">
        <v>1</v>
      </c>
      <c r="I12" s="507">
        <v>1</v>
      </c>
      <c r="J12" s="507">
        <v>1</v>
      </c>
    </row>
    <row r="13" spans="1:17" ht="44.25" customHeight="1" x14ac:dyDescent="0.25">
      <c r="A13" s="502" t="s">
        <v>140</v>
      </c>
      <c r="B13" s="508" t="s">
        <v>266</v>
      </c>
      <c r="C13" s="510">
        <f>'Bidding - Inputs 1'!B16*'Bidding - Inputs 1'!B14*'Bidding - Inputs 1'!B15</f>
        <v>234000</v>
      </c>
      <c r="D13" s="507">
        <v>0</v>
      </c>
      <c r="E13" s="507">
        <v>0.25</v>
      </c>
      <c r="F13" s="507">
        <v>0.75</v>
      </c>
      <c r="G13" s="507">
        <v>1</v>
      </c>
      <c r="H13" s="507">
        <v>1</v>
      </c>
      <c r="I13" s="507">
        <v>1</v>
      </c>
      <c r="J13" s="507">
        <v>1</v>
      </c>
    </row>
  </sheetData>
  <mergeCells count="2">
    <mergeCell ref="A4:J4"/>
    <mergeCell ref="A7:J7"/>
  </mergeCells>
  <pageMargins left="0.7" right="0.7" top="0.75" bottom="0.75" header="0.3" footer="0.3"/>
  <pageSetup paperSize="17" scale="75" orientation="landscape" verticalDpi="0" r:id="rId1"/>
  <tableParts count="1">
    <tablePart r:id="rId2"/>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Q18"/>
  <sheetViews>
    <sheetView zoomScale="70" zoomScaleNormal="70" workbookViewId="0">
      <pane ySplit="11" topLeftCell="A12" activePane="bottomLeft" state="frozen"/>
      <selection activeCell="A14" sqref="A14"/>
      <selection pane="bottomLeft" activeCell="B17" sqref="B17:E18"/>
    </sheetView>
  </sheetViews>
  <sheetFormatPr defaultColWidth="8.85546875" defaultRowHeight="15.75" x14ac:dyDescent="0.25"/>
  <cols>
    <col min="1" max="1" width="59.140625" style="94" customWidth="1"/>
    <col min="2" max="2" width="24.28515625" style="94" customWidth="1"/>
    <col min="3" max="3" width="12" style="94" customWidth="1"/>
    <col min="4" max="4" width="19.42578125" style="94" customWidth="1"/>
    <col min="5" max="5" width="24" style="94" customWidth="1"/>
    <col min="6" max="6" width="43.28515625" style="94" customWidth="1"/>
    <col min="7" max="7" width="65.7109375" style="94" customWidth="1"/>
    <col min="8" max="16384" width="8.85546875" style="94"/>
  </cols>
  <sheetData>
    <row r="1" spans="1:17" ht="21" x14ac:dyDescent="0.35">
      <c r="A1" s="519" t="s">
        <v>292</v>
      </c>
    </row>
    <row r="2" spans="1:17" ht="18.75" x14ac:dyDescent="0.3">
      <c r="A2" s="518" t="s">
        <v>148</v>
      </c>
    </row>
    <row r="3" spans="1:17" ht="16.5" thickBot="1" x14ac:dyDescent="0.3">
      <c r="A3" s="120"/>
      <c r="B3" s="120"/>
      <c r="C3" s="120"/>
      <c r="D3" s="120"/>
      <c r="E3" s="120"/>
      <c r="F3" s="120"/>
      <c r="G3" s="120"/>
      <c r="H3" s="120"/>
      <c r="I3" s="120"/>
      <c r="J3" s="120"/>
      <c r="K3" s="120"/>
      <c r="L3" s="120"/>
      <c r="M3" s="120"/>
      <c r="N3" s="120"/>
      <c r="O3" s="120"/>
    </row>
    <row r="4" spans="1:17" ht="65.25" customHeight="1" thickTop="1" thickBot="1" x14ac:dyDescent="0.3">
      <c r="A4" s="635" t="s">
        <v>263</v>
      </c>
      <c r="B4" s="636"/>
      <c r="C4" s="636"/>
      <c r="D4" s="636"/>
      <c r="E4" s="636"/>
      <c r="F4" s="636"/>
      <c r="G4" s="637"/>
      <c r="H4" s="81"/>
      <c r="I4" s="81"/>
      <c r="J4" s="81"/>
      <c r="K4" s="81"/>
      <c r="L4" s="81"/>
      <c r="M4" s="81"/>
      <c r="N4" s="81"/>
      <c r="O4" s="81"/>
    </row>
    <row r="5" spans="1:17" ht="16.5" thickTop="1" x14ac:dyDescent="0.25"/>
    <row r="6" spans="1:17" s="55" customFormat="1" ht="18.75" x14ac:dyDescent="0.3">
      <c r="A6" s="529" t="s">
        <v>60</v>
      </c>
      <c r="B6" s="150"/>
      <c r="C6" s="150"/>
      <c r="D6" s="150"/>
      <c r="E6" s="150"/>
      <c r="F6" s="150"/>
      <c r="G6" s="150"/>
      <c r="H6" s="151"/>
      <c r="I6" s="151"/>
      <c r="J6" s="151"/>
      <c r="K6" s="151"/>
      <c r="L6" s="151"/>
      <c r="M6" s="151"/>
      <c r="N6" s="151"/>
      <c r="O6" s="151"/>
      <c r="P6" s="117"/>
      <c r="Q6" s="117"/>
    </row>
    <row r="7" spans="1:17" s="117" customFormat="1" ht="163.5" customHeight="1" x14ac:dyDescent="0.25">
      <c r="A7" s="632" t="s">
        <v>495</v>
      </c>
      <c r="B7" s="633"/>
      <c r="C7" s="633"/>
      <c r="D7" s="633"/>
      <c r="E7" s="633"/>
      <c r="F7" s="633"/>
      <c r="G7" s="634"/>
      <c r="H7" s="152"/>
      <c r="I7" s="152"/>
      <c r="J7" s="152"/>
      <c r="K7" s="152"/>
      <c r="L7" s="152"/>
      <c r="M7" s="152"/>
      <c r="N7" s="152"/>
      <c r="O7" s="152"/>
    </row>
    <row r="8" spans="1:17" s="117" customFormat="1" x14ac:dyDescent="0.25">
      <c r="A8" s="153"/>
      <c r="B8" s="153"/>
      <c r="C8" s="153"/>
      <c r="D8" s="153"/>
      <c r="E8" s="153"/>
      <c r="F8" s="153"/>
      <c r="G8" s="153"/>
      <c r="H8" s="153"/>
      <c r="I8" s="153"/>
      <c r="J8" s="153"/>
      <c r="K8" s="154"/>
      <c r="L8" s="154"/>
      <c r="M8" s="133"/>
      <c r="N8" s="133"/>
      <c r="O8" s="133"/>
    </row>
    <row r="9" spans="1:17" s="117" customFormat="1" x14ac:dyDescent="0.25">
      <c r="A9" s="545" t="s">
        <v>451</v>
      </c>
      <c r="B9" s="153"/>
      <c r="C9" s="153"/>
      <c r="D9" s="153"/>
      <c r="E9" s="153"/>
      <c r="F9" s="153"/>
      <c r="G9" s="153"/>
      <c r="H9" s="153"/>
      <c r="I9" s="153"/>
      <c r="J9" s="153"/>
      <c r="K9" s="154"/>
      <c r="L9" s="154"/>
      <c r="M9" s="133"/>
      <c r="N9" s="133"/>
      <c r="O9" s="133"/>
    </row>
    <row r="10" spans="1:17" s="55" customFormat="1" ht="14.25" customHeight="1" x14ac:dyDescent="0.25">
      <c r="A10" s="155"/>
      <c r="B10" s="155"/>
      <c r="C10" s="155"/>
      <c r="D10" s="155"/>
      <c r="E10" s="155"/>
      <c r="F10" s="155"/>
      <c r="G10" s="138"/>
      <c r="H10" s="138"/>
      <c r="I10" s="138"/>
      <c r="J10" s="138"/>
      <c r="K10" s="138"/>
      <c r="L10" s="138"/>
      <c r="M10" s="138"/>
      <c r="N10" s="138"/>
      <c r="O10" s="138"/>
      <c r="P10" s="145"/>
    </row>
    <row r="11" spans="1:17" s="55" customFormat="1" x14ac:dyDescent="0.25">
      <c r="A11" s="156" t="s">
        <v>295</v>
      </c>
      <c r="B11" s="141" t="s">
        <v>296</v>
      </c>
      <c r="C11" s="141" t="s">
        <v>297</v>
      </c>
      <c r="D11" s="141" t="s">
        <v>298</v>
      </c>
      <c r="E11" s="141" t="s">
        <v>299</v>
      </c>
      <c r="F11" s="141" t="s">
        <v>280</v>
      </c>
      <c r="G11" s="157" t="s">
        <v>293</v>
      </c>
      <c r="H11" s="138"/>
      <c r="I11" s="138"/>
      <c r="J11" s="138"/>
      <c r="K11" s="138"/>
      <c r="L11" s="138"/>
      <c r="M11" s="138"/>
      <c r="N11" s="138"/>
      <c r="O11" s="138"/>
      <c r="P11" s="145"/>
    </row>
    <row r="12" spans="1:17" s="55" customFormat="1" x14ac:dyDescent="0.25">
      <c r="A12" s="502" t="s">
        <v>69</v>
      </c>
      <c r="B12" s="503">
        <f>9/12</f>
        <v>0.75</v>
      </c>
      <c r="C12" s="503">
        <v>0.5</v>
      </c>
      <c r="D12" s="504">
        <v>75000</v>
      </c>
      <c r="E12" s="505">
        <v>0.8</v>
      </c>
      <c r="F12" s="506">
        <f>(D12*(1+E12))*C12*B12</f>
        <v>50625</v>
      </c>
      <c r="G12" s="158"/>
      <c r="H12" s="159"/>
      <c r="I12" s="159"/>
      <c r="J12" s="159"/>
      <c r="K12" s="159"/>
      <c r="L12" s="159"/>
      <c r="M12" s="159"/>
      <c r="N12" s="159"/>
      <c r="O12" s="159"/>
      <c r="P12" s="145"/>
    </row>
    <row r="13" spans="1:17" s="55" customFormat="1" x14ac:dyDescent="0.25">
      <c r="A13" s="502" t="s">
        <v>90</v>
      </c>
      <c r="B13" s="503">
        <f>9/12</f>
        <v>0.75</v>
      </c>
      <c r="C13" s="503">
        <v>0.5</v>
      </c>
      <c r="D13" s="504">
        <v>75000</v>
      </c>
      <c r="E13" s="505">
        <v>0.8</v>
      </c>
      <c r="F13" s="506">
        <f>(D13*(1+E13))*C13*B13</f>
        <v>50625</v>
      </c>
      <c r="G13" s="160"/>
      <c r="H13" s="159"/>
      <c r="I13" s="159"/>
      <c r="J13" s="159"/>
      <c r="K13" s="159"/>
      <c r="L13" s="159"/>
      <c r="M13" s="159"/>
      <c r="N13" s="159"/>
      <c r="O13" s="159"/>
      <c r="P13" s="145"/>
    </row>
    <row r="14" spans="1:17" s="55" customFormat="1" x14ac:dyDescent="0.25">
      <c r="A14" s="502" t="s">
        <v>68</v>
      </c>
      <c r="B14" s="503">
        <f>9/12</f>
        <v>0.75</v>
      </c>
      <c r="C14" s="503">
        <v>2</v>
      </c>
      <c r="D14" s="504">
        <v>75000</v>
      </c>
      <c r="E14" s="505">
        <v>0.8</v>
      </c>
      <c r="F14" s="506">
        <f>(D14*(1+E14))*C14*B14</f>
        <v>202500</v>
      </c>
      <c r="G14" s="160"/>
      <c r="H14" s="159"/>
      <c r="I14" s="159"/>
      <c r="J14" s="159"/>
      <c r="K14" s="159"/>
      <c r="L14" s="159"/>
      <c r="M14" s="159"/>
      <c r="N14" s="159"/>
      <c r="O14" s="159"/>
      <c r="P14" s="145"/>
    </row>
    <row r="15" spans="1:17" s="55" customFormat="1" x14ac:dyDescent="0.25">
      <c r="A15" s="502" t="s">
        <v>89</v>
      </c>
      <c r="B15" s="503">
        <v>8.3333333333333329E-2</v>
      </c>
      <c r="C15" s="503">
        <v>1</v>
      </c>
      <c r="D15" s="504">
        <v>75000</v>
      </c>
      <c r="E15" s="505">
        <v>0.8</v>
      </c>
      <c r="F15" s="506">
        <f>(D15*(1+E15))*C15*B15</f>
        <v>11250</v>
      </c>
      <c r="G15" s="160"/>
      <c r="H15" s="159"/>
      <c r="I15" s="159"/>
      <c r="J15" s="159"/>
      <c r="K15" s="159"/>
      <c r="L15" s="159"/>
      <c r="M15" s="159"/>
      <c r="N15" s="159"/>
      <c r="O15" s="159"/>
    </row>
    <row r="16" spans="1:17" s="55" customFormat="1" x14ac:dyDescent="0.25">
      <c r="A16" s="502" t="s">
        <v>70</v>
      </c>
      <c r="B16" s="503">
        <v>1</v>
      </c>
      <c r="C16" s="503">
        <v>0.25</v>
      </c>
      <c r="D16" s="504">
        <v>60000</v>
      </c>
      <c r="E16" s="505">
        <v>0.8</v>
      </c>
      <c r="F16" s="506">
        <f>(D16*(1+E16))*C16*B16</f>
        <v>27000</v>
      </c>
      <c r="G16" s="160"/>
      <c r="H16" s="159"/>
      <c r="I16" s="159"/>
      <c r="J16" s="159"/>
      <c r="K16" s="159"/>
      <c r="L16" s="159"/>
      <c r="M16" s="159"/>
      <c r="N16" s="159"/>
      <c r="O16" s="159"/>
    </row>
    <row r="17" spans="1:15" s="55" customFormat="1" x14ac:dyDescent="0.25">
      <c r="A17" s="502" t="s">
        <v>152</v>
      </c>
      <c r="B17" s="449" t="s">
        <v>306</v>
      </c>
      <c r="C17" s="449" t="s">
        <v>306</v>
      </c>
      <c r="D17" s="449" t="s">
        <v>306</v>
      </c>
      <c r="E17" s="449" t="s">
        <v>306</v>
      </c>
      <c r="F17" s="506">
        <f>SUM(F12:F15)</f>
        <v>315000</v>
      </c>
      <c r="G17" s="160"/>
      <c r="H17" s="159"/>
      <c r="I17" s="159"/>
      <c r="J17" s="159"/>
      <c r="K17" s="159"/>
      <c r="L17" s="159"/>
      <c r="M17" s="159"/>
      <c r="N17" s="159"/>
      <c r="O17" s="159"/>
    </row>
    <row r="18" spans="1:15" s="55" customFormat="1" x14ac:dyDescent="0.25">
      <c r="A18" s="502" t="s">
        <v>153</v>
      </c>
      <c r="B18" s="449" t="s">
        <v>306</v>
      </c>
      <c r="C18" s="449" t="s">
        <v>306</v>
      </c>
      <c r="D18" s="449" t="s">
        <v>306</v>
      </c>
      <c r="E18" s="449" t="s">
        <v>306</v>
      </c>
      <c r="F18" s="506">
        <f>F16</f>
        <v>27000</v>
      </c>
      <c r="G18" s="160"/>
      <c r="H18" s="159"/>
      <c r="I18" s="159"/>
      <c r="J18" s="159"/>
      <c r="K18" s="159"/>
      <c r="L18" s="159"/>
      <c r="M18" s="159"/>
      <c r="N18" s="159"/>
      <c r="O18" s="159"/>
    </row>
  </sheetData>
  <mergeCells count="2">
    <mergeCell ref="A7:G7"/>
    <mergeCell ref="A4:G4"/>
  </mergeCells>
  <pageMargins left="0.7" right="0.7" top="0.75" bottom="0.75" header="0.3" footer="0.3"/>
  <pageSetup paperSize="17" scale="80" orientation="landscape" verticalDpi="0"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131D83281E8CAD449B8F02D016396FA5" ma:contentTypeVersion="2" ma:contentTypeDescription="Create a new document." ma:contentTypeScope="" ma:versionID="d91811327354322d97ffa285b9d3d7eb">
  <xsd:schema xmlns:xsd="http://www.w3.org/2001/XMLSchema" xmlns:xs="http://www.w3.org/2001/XMLSchema" xmlns:p="http://schemas.microsoft.com/office/2006/metadata/properties" xmlns:ns2="6189512a-cfed-4e94-a7e5-ea1bca9469a3" targetNamespace="http://schemas.microsoft.com/office/2006/metadata/properties" ma:root="true" ma:fieldsID="efd395fe1f974468ee662c0dd3d4a3fd" ns2:_="">
    <xsd:import namespace="6189512a-cfed-4e94-a7e5-ea1bca9469a3"/>
    <xsd:element name="properties">
      <xsd:complexType>
        <xsd:sequence>
          <xsd:element name="documentManagement">
            <xsd:complexType>
              <xsd:all>
                <xsd:element ref="ns2:Category"/>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189512a-cfed-4e94-a7e5-ea1bca9469a3" elementFormDefault="qualified">
    <xsd:import namespace="http://schemas.microsoft.com/office/2006/documentManagement/types"/>
    <xsd:import namespace="http://schemas.microsoft.com/office/infopath/2007/PartnerControls"/>
    <xsd:element name="Category" ma:index="9" ma:displayName="Category" ma:default="Deliverable" ma:format="Dropdown" ma:internalName="Category">
      <xsd:simpleType>
        <xsd:restriction base="dms:Choice">
          <xsd:enumeration value="Deliverable"/>
          <xsd:enumeration value="Reference Document"/>
          <xsd:enumeration value="Report"/>
          <xsd:enumeration value="Survey/Interview"/>
          <xsd:enumeration value="Working Document"/>
          <xsd:enumeration value="Graphics Document"/>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Category xmlns="6189512a-cfed-4e94-a7e5-ea1bca9469a3">Deliverable</Category>
  </documentManagement>
</p:properties>
</file>

<file path=customXml/itemProps1.xml><?xml version="1.0" encoding="utf-8"?>
<ds:datastoreItem xmlns:ds="http://schemas.openxmlformats.org/officeDocument/2006/customXml" ds:itemID="{8C0196FE-5BD7-46E1-832B-046638D9EFCD}">
  <ds:schemaRefs>
    <ds:schemaRef ds:uri="http://schemas.microsoft.com/sharepoint/v3/contenttype/forms"/>
  </ds:schemaRefs>
</ds:datastoreItem>
</file>

<file path=customXml/itemProps2.xml><?xml version="1.0" encoding="utf-8"?>
<ds:datastoreItem xmlns:ds="http://schemas.openxmlformats.org/officeDocument/2006/customXml" ds:itemID="{481DE36D-D0F3-4D6B-A98A-CDB24AEE0B2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189512a-cfed-4e94-a7e5-ea1bca9469a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A61D3CBB-B939-48C9-9EFC-FAF981A29061}">
  <ds:schemaRefs>
    <ds:schemaRef ds:uri="http://schemas.openxmlformats.org/package/2006/metadata/core-properties"/>
    <ds:schemaRef ds:uri="http://purl.org/dc/dcmitype/"/>
    <ds:schemaRef ds:uri="http://schemas.microsoft.com/office/2006/documentManagement/types"/>
    <ds:schemaRef ds:uri="http://purl.org/dc/terms/"/>
    <ds:schemaRef ds:uri="http://purl.org/dc/elements/1.1/"/>
    <ds:schemaRef ds:uri="http://schemas.microsoft.com/office/infopath/2007/PartnerControls"/>
    <ds:schemaRef ds:uri="6189512a-cfed-4e94-a7e5-ea1bca9469a3"/>
    <ds:schemaRef ds:uri="http://schemas.microsoft.com/office/2006/metadata/propertie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49</vt:i4>
      </vt:variant>
      <vt:variant>
        <vt:lpstr>Named Ranges</vt:lpstr>
      </vt:variant>
      <vt:variant>
        <vt:i4>49</vt:i4>
      </vt:variant>
    </vt:vector>
  </HeadingPairs>
  <TitlesOfParts>
    <vt:vector size="98" baseType="lpstr">
      <vt:lpstr>Detailed Costs - for Screenshot</vt:lpstr>
      <vt:lpstr>How-to-Use-Template 1</vt:lpstr>
      <vt:lpstr>How-to-Use-Template 2</vt:lpstr>
      <vt:lpstr>How-to-Use-Template 3</vt:lpstr>
      <vt:lpstr>Annual Construction Program</vt:lpstr>
      <vt:lpstr>Dashboard</vt:lpstr>
      <vt:lpstr>Bidding - Inputs 1</vt:lpstr>
      <vt:lpstr>Bidding - Inputs 2</vt:lpstr>
      <vt:lpstr>Bidding - Inputs 3</vt:lpstr>
      <vt:lpstr>Bidding - Inputs 4</vt:lpstr>
      <vt:lpstr>Bidding - BCA</vt:lpstr>
      <vt:lpstr>Bidding - Timeline</vt:lpstr>
      <vt:lpstr>PS&amp;E - Inputs 1</vt:lpstr>
      <vt:lpstr>PS&amp;E - Inputs 2</vt:lpstr>
      <vt:lpstr>PS&amp;E - Inputs 3</vt:lpstr>
      <vt:lpstr>PS&amp;E - Inputs 4</vt:lpstr>
      <vt:lpstr>PS&amp;E - BCA</vt:lpstr>
      <vt:lpstr>PS&amp;E - Timeline</vt:lpstr>
      <vt:lpstr>Dig Review - Inputs 1</vt:lpstr>
      <vt:lpstr>Dig Review - Inputs 2</vt:lpstr>
      <vt:lpstr>Dig Review - Inputs 3</vt:lpstr>
      <vt:lpstr>Dig Review - Inputs 4</vt:lpstr>
      <vt:lpstr>Dig Review - BCA</vt:lpstr>
      <vt:lpstr>Dig Review - Timeline</vt:lpstr>
      <vt:lpstr>PCM - Inputs 1</vt:lpstr>
      <vt:lpstr>PCM - Inputs 2</vt:lpstr>
      <vt:lpstr>PCM - Inputs 3</vt:lpstr>
      <vt:lpstr>PCM - Inputs 4</vt:lpstr>
      <vt:lpstr>PCM - BCA</vt:lpstr>
      <vt:lpstr>PCM - Timeline</vt:lpstr>
      <vt:lpstr>Project Collab - Inputs 1</vt:lpstr>
      <vt:lpstr>Project Collab - Inputs 2</vt:lpstr>
      <vt:lpstr>Project Collab - Inputs 3</vt:lpstr>
      <vt:lpstr>Project Collab - Inputs 4</vt:lpstr>
      <vt:lpstr>Project Collab - BCA</vt:lpstr>
      <vt:lpstr>Project Collab - Timeline</vt:lpstr>
      <vt:lpstr>Dig As-Builts - Inputs 1</vt:lpstr>
      <vt:lpstr>Dig As-Builts - Inputs 2</vt:lpstr>
      <vt:lpstr>Dig As-Builts - Inputs 3</vt:lpstr>
      <vt:lpstr>Dig As-Builts - Inputs 4</vt:lpstr>
      <vt:lpstr>Dig As-Builts - BCA</vt:lpstr>
      <vt:lpstr>Dig As-Builts - Timeline</vt:lpstr>
      <vt:lpstr>Mobile - Inputs 1</vt:lpstr>
      <vt:lpstr>Mobile - Inputs 2</vt:lpstr>
      <vt:lpstr>Mobile - Inputs 3</vt:lpstr>
      <vt:lpstr>Mobile - Inputs 4</vt:lpstr>
      <vt:lpstr>Mobile - BCA</vt:lpstr>
      <vt:lpstr>Mobile - Timeline</vt:lpstr>
      <vt:lpstr>Integration</vt:lpstr>
      <vt:lpstr>'How-to-Use-Template 2'!Print_Area</vt:lpstr>
      <vt:lpstr>TitleRegion1.A11.D16.6</vt:lpstr>
      <vt:lpstr>TitleRegion1.A11.D17.36</vt:lpstr>
      <vt:lpstr>TitleRegion1.A11.D18.18</vt:lpstr>
      <vt:lpstr>TitleRegion1.A11.D19.30</vt:lpstr>
      <vt:lpstr>TitleRegion1.A11.D20.12</vt:lpstr>
      <vt:lpstr>TitleRegion1.A11.D22.42</vt:lpstr>
      <vt:lpstr>TitleRegion1.A11.D23.24</vt:lpstr>
      <vt:lpstr>TitleRegion1.A11.F15.20</vt:lpstr>
      <vt:lpstr>TitleRegion1.A11.F16.14</vt:lpstr>
      <vt:lpstr>TitleRegion1.A11.F17.44</vt:lpstr>
      <vt:lpstr>TitleRegion1.A11.F18.32</vt:lpstr>
      <vt:lpstr>TitleRegion1.A11.F18.38</vt:lpstr>
      <vt:lpstr>TitleRegion1.A11.F18.8</vt:lpstr>
      <vt:lpstr>TitleRegion1.A11.F19.26</vt:lpstr>
      <vt:lpstr>TitleRegion1.A11.I14.10</vt:lpstr>
      <vt:lpstr>TitleRegion1.A11.I14.40</vt:lpstr>
      <vt:lpstr>TitleRegion1.A11.I15.16</vt:lpstr>
      <vt:lpstr>TitleRegion1.A11.I15.22</vt:lpstr>
      <vt:lpstr>TitleRegion1.A11.I15.34</vt:lpstr>
      <vt:lpstr>TitleRegion1.A11.I16.28</vt:lpstr>
      <vt:lpstr>TitleRegion1.A11.I18.46</vt:lpstr>
      <vt:lpstr>TitleRegion1.A11.J13.19</vt:lpstr>
      <vt:lpstr>TitleRegion1.A11.J13.31</vt:lpstr>
      <vt:lpstr>TitleRegion1.A11.J13.37</vt:lpstr>
      <vt:lpstr>TitleRegion1.A11.J13.7</vt:lpstr>
      <vt:lpstr>TitleRegion1.A11.J14.13</vt:lpstr>
      <vt:lpstr>TitleRegion1.A11.J15.25</vt:lpstr>
      <vt:lpstr>TitleRegion1.A11.J17.43</vt:lpstr>
      <vt:lpstr>TitleRegion1.A11.J22.15</vt:lpstr>
      <vt:lpstr>TitleRegion1.A11.J22.27</vt:lpstr>
      <vt:lpstr>TitleRegion1.A11.J22.33</vt:lpstr>
      <vt:lpstr>TitleRegion1.A11.J22.9</vt:lpstr>
      <vt:lpstr>TitleRegion1.A11.J23.39</vt:lpstr>
      <vt:lpstr>TitleRegion1.A11.J24.21</vt:lpstr>
      <vt:lpstr>TitleRegion1.A11.J25.45</vt:lpstr>
      <vt:lpstr>TitleRegion1.A6.D16.48</vt:lpstr>
      <vt:lpstr>TitleRegion1.A8.B11.1</vt:lpstr>
      <vt:lpstr>TitleRegion1.A8.B11.2</vt:lpstr>
      <vt:lpstr>TitleRegion1.A8.B16.3</vt:lpstr>
      <vt:lpstr>TitleRegion1.A8.C15.5</vt:lpstr>
      <vt:lpstr>TitleRegion1.A8.C32.4</vt:lpstr>
      <vt:lpstr>TitleRegion2.A16.I30.10</vt:lpstr>
      <vt:lpstr>TitleRegion2.A16.I31.40</vt:lpstr>
      <vt:lpstr>TitleRegion2.A17.I31.16</vt:lpstr>
      <vt:lpstr>TitleRegion2.A17.I31.34</vt:lpstr>
      <vt:lpstr>TitleRegion2.A17.I32.22</vt:lpstr>
      <vt:lpstr>TitleRegion2.A18.I32.28</vt:lpstr>
      <vt:lpstr>TitleRegion2.A20.I37.46</vt:lpstr>
    </vt:vector>
  </TitlesOfParts>
  <Company>W-AMNYC-V-AIT04</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Keyur Shah</dc:creator>
  <cp:lastModifiedBy>Michelle Cribbs</cp:lastModifiedBy>
  <cp:lastPrinted>2017-08-15T00:06:59Z</cp:lastPrinted>
  <dcterms:created xsi:type="dcterms:W3CDTF">2014-03-15T00:04:41Z</dcterms:created>
  <dcterms:modified xsi:type="dcterms:W3CDTF">2017-08-23T13:12:36Z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0x010100131D83281E8CAD449B8F02D016396FA5</vt:lpwstr>
  </property>
</Properties>
</file>