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1"/>
  </bookViews>
  <sheets>
    <sheet name="LINKED" sheetId="1" r:id="rId1"/>
    <sheet name="Final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P">'LINKED'!$B$83</definedName>
    <definedName name="_mf2">'LINKED'!$A$13:$Q$65</definedName>
    <definedName name="EVENPRINT">'LINKED'!$B$90</definedName>
    <definedName name="ODD">'LINKED'!$B$81</definedName>
    <definedName name="ODDPRINT">'LINKED'!$B$88</definedName>
    <definedName name="PAGENUMBER">'LINKED'!$B$80</definedName>
    <definedName name="_xlnm.Print_Area" localSheetId="1">'Final'!$A$1:$Q$72</definedName>
    <definedName name="_xlnm.Print_Area" localSheetId="0">'LINKED'!$A$5:$Q$75</definedName>
  </definedNames>
  <calcPr fullCalcOnLoad="1"/>
</workbook>
</file>

<file path=xl/sharedStrings.xml><?xml version="1.0" encoding="utf-8"?>
<sst xmlns="http://schemas.openxmlformats.org/spreadsheetml/2006/main" count="197" uniqueCount="95">
  <si>
    <t>(THOUSANDS OF GALLONS)</t>
  </si>
  <si>
    <t>TABLE MF-2</t>
  </si>
  <si>
    <t>NET VOLUME TAXED</t>
  </si>
  <si>
    <t>AT PREVAILING RATES  4/</t>
  </si>
  <si>
    <t>ERROR CHECK</t>
  </si>
  <si>
    <t>PRIOR YEAR DATA FOR COMPUTATION OF PERCENT CHANGE</t>
  </si>
  <si>
    <t>GASOLINE</t>
  </si>
  <si>
    <t>SPECIAL FUELS</t>
  </si>
  <si>
    <t>ALL MOTOR FUELS</t>
  </si>
  <si>
    <t>STATE</t>
  </si>
  <si>
    <t>TOTAL</t>
  </si>
  <si>
    <t>NET VOLUME TAXED AT PREVAILING RATE</t>
  </si>
  <si>
    <t>SPECIAL FUEL</t>
  </si>
  <si>
    <t>GAS/GASOHOL</t>
  </si>
  <si>
    <t>Alabama</t>
  </si>
  <si>
    <t>Alaska</t>
  </si>
  <si>
    <t>Arizona</t>
  </si>
  <si>
    <t>Arkansas</t>
  </si>
  <si>
    <t>California</t>
  </si>
  <si>
    <t xml:space="preserve">Colorado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</si>
  <si>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</si>
  <si>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</si>
  <si>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</si>
  <si>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</si>
  <si>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</si>
  <si>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</si>
  <si>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</si>
  <si>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</si>
  <si>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</si>
  <si>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</si>
  <si>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</si>
  <si>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</si>
  <si>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</si>
  <si>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</si>
  <si>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</si>
  <si>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</si>
  <si>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</si>
  <si>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</si>
  <si>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</si>
  <si>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</si>
  <si>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</si>
  <si>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</si>
  <si>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</si>
  <si>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</si>
  <si>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</si>
  <si>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</si>
  <si>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</t>
  </si>
  <si>
    <t>North Carolina</t>
  </si>
  <si>
    <t>North Dakota</t>
  </si>
  <si>
    <t>Ohio</t>
  </si>
  <si>
    <t>Oklahoma</t>
  </si>
  <si>
    <t>Oregon   6/</t>
  </si>
  <si>
    <t>Pennsylvania</t>
  </si>
  <si>
    <t>South Carolina</t>
  </si>
  <si>
    <t>South Dakota</t>
  </si>
  <si>
    <t>Tennessee</t>
  </si>
  <si>
    <t xml:space="preserve">Texas  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</si>
  <si>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</si>
  <si>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</si>
  <si>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</si>
  <si>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</si>
  <si>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</si>
  <si>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</si>
  <si>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</si>
  <si>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</si>
  <si>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Percentage</t>
  </si>
  <si>
    <t xml:space="preserve">       1/  This table includes data on all motor fuels subject to State motor-fuel taxes except special fuels (fuels other than</t>
  </si>
  <si>
    <t>gasoline and gasohol) used for nonhighway purposes.  It is not intended to reflect the amount of fuel used on high-</t>
  </si>
  <si>
    <t>ways.  For some States, data are not comparable to prior years due to changes in data analysis and/or improve-</t>
  </si>
  <si>
    <t xml:space="preserve">       5/  In some States, fuel used for specific purposes is taxed or refunded at rates other than the prevailing rates</t>
  </si>
  <si>
    <t>ments in reporting procedures.  All data are subject to further review and revision.</t>
  </si>
  <si>
    <t>shown in Table MF-121T.  In the case of aviation fuel, only aviation gasoline is included.</t>
  </si>
  <si>
    <t xml:space="preserve">       2/  Export sales and other amounts not consumed as motor fuel in the State have been excluded wherever</t>
  </si>
  <si>
    <t xml:space="preserve">       6/  Vehicles consuming special fuels and paying mileage tax to the Public Utility Commissioner are not required to</t>
  </si>
  <si>
    <t>possible.</t>
  </si>
  <si>
    <t>pay the motor-fuel tax.  Fuel volume reported here includes only the volume on which the motor-fuel tax has been</t>
  </si>
  <si>
    <t xml:space="preserve">       3/  Includes Federal use, other public use, certain transit use, nonhighway use where initial exemptions rather</t>
  </si>
  <si>
    <t>paid.  For total highway use of special fuels, see table MF-21.</t>
  </si>
  <si>
    <t xml:space="preserve"> than refunds were made, and allowances for evaporation and other losses.</t>
  </si>
  <si>
    <t>-</t>
  </si>
  <si>
    <t xml:space="preserve">Rhode Island             </t>
  </si>
  <si>
    <t>GROSS VOLUME REPORTED  2/</t>
  </si>
  <si>
    <t>VOLUME EXEMPT FROM PAYMENT OF TAX  3/</t>
  </si>
  <si>
    <t>GROSS VOLUME ASSESSED FOR TAXATION</t>
  </si>
  <si>
    <t>VOLUME SUBJECT TO REFUND OF ENTIRE TAX</t>
  </si>
  <si>
    <t>PERCENT CHANGE FROM PRIOR YEAR</t>
  </si>
  <si>
    <t>AT OTHER RATES  5/</t>
  </si>
  <si>
    <t>NET TAXED AT PREVAILING RATE SHOULD BE ZERIO</t>
  </si>
  <si>
    <t>VOLUME 2008</t>
  </si>
  <si>
    <t>MOTOR-FUEL VOLUME TAXED - 2009  1/</t>
  </si>
  <si>
    <t>LINKED</t>
  </si>
  <si>
    <t xml:space="preserve">       4/  Tax rates are as of December 31, 2009.</t>
  </si>
  <si>
    <t>NET TOTAL VOLUME 2009</t>
  </si>
  <si>
    <t>VOLUME 2009</t>
  </si>
  <si>
    <t>NOVEMBER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</si>
</sst>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  <numFmt numFmtId="165" formatCode="0.0"/>
  </numFmts>
  <fonts count="45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2" fillId="34" borderId="0" xfId="0" applyFont="1" applyFill="1" applyAlignment="1" applyProtection="1">
      <alignment horizontal="centerContinuous" vertical="center"/>
      <protection/>
    </xf>
    <xf numFmtId="0" fontId="2" fillId="34" borderId="0" xfId="0" applyFont="1" applyFill="1" applyAlignment="1" applyProtection="1">
      <alignment horizontal="centerContinuous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centerContinuous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164" fontId="2" fillId="34" borderId="0" xfId="0" applyNumberFormat="1" applyFont="1" applyFill="1" applyBorder="1" applyAlignment="1" applyProtection="1">
      <alignment horizontal="center"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37" fontId="2" fillId="33" borderId="14" xfId="0" applyNumberFormat="1" applyFont="1" applyFill="1" applyBorder="1" applyAlignment="1" applyProtection="1">
      <alignment vertical="center"/>
      <protection/>
    </xf>
    <xf numFmtId="37" fontId="2" fillId="33" borderId="19" xfId="0" applyNumberFormat="1" applyFont="1" applyFill="1" applyBorder="1" applyAlignment="1" applyProtection="1">
      <alignment vertical="center"/>
      <protection/>
    </xf>
    <xf numFmtId="37" fontId="2" fillId="33" borderId="18" xfId="0" applyNumberFormat="1" applyFont="1" applyFill="1" applyBorder="1" applyAlignment="1" applyProtection="1">
      <alignment vertical="center"/>
      <protection/>
    </xf>
    <xf numFmtId="164" fontId="2" fillId="34" borderId="11" xfId="0" applyNumberFormat="1" applyFont="1" applyFill="1" applyBorder="1" applyAlignment="1" applyProtection="1">
      <alignment horizontal="center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37" fontId="2" fillId="33" borderId="12" xfId="0" applyNumberFormat="1" applyFont="1" applyFill="1" applyBorder="1" applyAlignment="1" applyProtection="1">
      <alignment vertical="center"/>
      <protection/>
    </xf>
    <xf numFmtId="37" fontId="2" fillId="33" borderId="2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Border="1" applyAlignment="1" applyProtection="1">
      <alignment vertical="center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8" xfId="0" applyNumberFormat="1" applyFont="1" applyFill="1" applyBorder="1" applyAlignment="1" applyProtection="1">
      <alignment horizontal="center" vertical="center"/>
      <protection/>
    </xf>
    <xf numFmtId="37" fontId="2" fillId="33" borderId="10" xfId="0" applyNumberFormat="1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horizontal="centerContinuous"/>
      <protection/>
    </xf>
    <xf numFmtId="0" fontId="2" fillId="34" borderId="10" xfId="0" applyFont="1" applyFill="1" applyBorder="1" applyAlignment="1" applyProtection="1">
      <alignment horizontal="centerContinuous"/>
      <protection/>
    </xf>
    <xf numFmtId="0" fontId="2" fillId="34" borderId="10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 horizontal="centerContinuous"/>
      <protection/>
    </xf>
    <xf numFmtId="0" fontId="2" fillId="34" borderId="0" xfId="0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37" fontId="5" fillId="34" borderId="0" xfId="0" applyNumberFormat="1" applyFont="1" applyFill="1" applyAlignment="1" applyProtection="1">
      <alignment/>
      <protection/>
    </xf>
    <xf numFmtId="37" fontId="2" fillId="34" borderId="0" xfId="0" applyNumberFormat="1" applyFont="1" applyFill="1" applyAlignment="1" applyProtection="1">
      <alignment/>
      <protection/>
    </xf>
    <xf numFmtId="49" fontId="5" fillId="34" borderId="0" xfId="0" applyNumberFormat="1" applyFont="1" applyFill="1" applyAlignment="1">
      <alignment/>
    </xf>
    <xf numFmtId="49" fontId="5" fillId="34" borderId="19" xfId="0" applyNumberFormat="1" applyFont="1" applyFill="1" applyBorder="1" applyAlignment="1" applyProtection="1">
      <alignment/>
      <protection/>
    </xf>
    <xf numFmtId="49" fontId="5" fillId="34" borderId="0" xfId="0" applyNumberFormat="1" applyFont="1" applyFill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 quotePrefix="1">
      <alignment/>
      <protection/>
    </xf>
    <xf numFmtId="0" fontId="6" fillId="33" borderId="0" xfId="0" applyFont="1" applyFill="1" applyAlignment="1" applyProtection="1" quotePrefix="1">
      <alignment horizontal="center"/>
      <protection/>
    </xf>
    <xf numFmtId="0" fontId="8" fillId="33" borderId="0" xfId="0" applyFont="1" applyFill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Continuous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164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Alignment="1" applyProtection="1">
      <alignment horizontal="center" vertical="center"/>
      <protection/>
    </xf>
    <xf numFmtId="164" fontId="2" fillId="0" borderId="19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165" fontId="2" fillId="0" borderId="12" xfId="0" applyNumberFormat="1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center" vertical="center"/>
      <protection/>
    </xf>
    <xf numFmtId="164" fontId="2" fillId="0" borderId="20" xfId="0" applyNumberFormat="1" applyFont="1" applyFill="1" applyBorder="1" applyAlignment="1" applyProtection="1">
      <alignment horizontal="center" vertical="center"/>
      <protection/>
    </xf>
    <xf numFmtId="164" fontId="2" fillId="0" borderId="16" xfId="0" applyNumberFormat="1" applyFont="1" applyFill="1" applyBorder="1" applyAlignment="1" applyProtection="1">
      <alignment horizontal="center" vertical="center"/>
      <protection/>
    </xf>
    <xf numFmtId="165" fontId="2" fillId="0" borderId="16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8" xfId="0" applyNumberFormat="1" applyFont="1" applyFill="1" applyBorder="1" applyAlignment="1" applyProtection="1">
      <alignment horizontal="center" vertical="center"/>
      <protection/>
    </xf>
    <xf numFmtId="165" fontId="2" fillId="0" borderId="16" xfId="0" applyNumberFormat="1" applyFont="1" applyFill="1" applyBorder="1" applyAlignment="1" applyProtection="1" quotePrefix="1">
      <alignment horizontal="center" vertical="center"/>
      <protection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9" fillId="34" borderId="10" xfId="0" applyFont="1" applyFill="1" applyBorder="1" applyAlignment="1" applyProtection="1">
      <alignment horizontal="lef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0" xfId="0" applyFont="1" applyFill="1" applyBorder="1" applyAlignment="1" applyProtection="1">
      <alignment horizontal="right" vertical="center"/>
      <protection/>
    </xf>
    <xf numFmtId="17" fontId="9" fillId="34" borderId="10" xfId="0" applyNumberFormat="1" applyFont="1" applyFill="1" applyBorder="1" applyAlignment="1" applyProtection="1" quotePrefix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164" fontId="2" fillId="0" borderId="24" xfId="0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Continuous" vertical="center"/>
      <protection/>
    </xf>
    <xf numFmtId="0" fontId="11" fillId="34" borderId="0" xfId="0" applyFont="1" applyFill="1" applyAlignment="1" applyProtection="1">
      <alignment horizontal="centerContinuous" vertical="center"/>
      <protection/>
    </xf>
    <xf numFmtId="0" fontId="4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A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CA08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WI08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WY09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WY0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CO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CO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CT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CT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DE0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DE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DC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DC08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F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AL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FL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GA0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GA0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HI0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HI0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ID0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ID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IL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IL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IN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AK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IN0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IA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IA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KS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KS08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KY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KY08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LA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LA0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E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AK08.xlsx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E08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D09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D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A09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A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I0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I08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N09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N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AZ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S08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O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O08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MT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MT0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E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E08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V0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V0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H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AZ08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H0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J0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J08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M09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M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Y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Y08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C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C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ND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AR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ND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OH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OH08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OK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OK08.xlsx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OR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OR08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PA09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PA08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RI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AR08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RI08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SC09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SC0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SD0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SD0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TN0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TN08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TX09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TX08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UT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CA09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UT0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VT0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VT08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VA09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VA08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WA09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WA0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WV0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8\GTA\GTAWV08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HARE\HPM10\MF\2009\GTA\GTAWI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AL09"/>
    </sheetNames>
    <definedNames>
      <definedName name="G1A9" sheetId="0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3294312</v>
          </cell>
        </row>
        <row r="27">
          <cell r="F27">
            <v>61174</v>
          </cell>
        </row>
        <row r="31">
          <cell r="F31">
            <v>4220</v>
          </cell>
        </row>
        <row r="33">
          <cell r="F33">
            <v>2513306</v>
          </cell>
        </row>
        <row r="34">
          <cell r="F34">
            <v>712799</v>
          </cell>
        </row>
        <row r="41">
          <cell r="F41">
            <v>2813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15032232</v>
          </cell>
        </row>
        <row r="34">
          <cell r="F34">
            <v>2797481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2445636</v>
          </cell>
        </row>
        <row r="34">
          <cell r="F34">
            <v>742703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694301</v>
          </cell>
        </row>
        <row r="27">
          <cell r="F27">
            <v>2433</v>
          </cell>
        </row>
        <row r="31">
          <cell r="F31">
            <v>36524</v>
          </cell>
        </row>
        <row r="33">
          <cell r="F33">
            <v>329714</v>
          </cell>
        </row>
        <row r="34">
          <cell r="F34">
            <v>325630</v>
          </cell>
        </row>
        <row r="41">
          <cell r="F41">
            <v>0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317540</v>
          </cell>
        </row>
        <row r="34">
          <cell r="F34">
            <v>389865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CO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2622256</v>
          </cell>
        </row>
        <row r="27">
          <cell r="F27">
            <v>73778</v>
          </cell>
        </row>
        <row r="31">
          <cell r="F31">
            <v>12601</v>
          </cell>
        </row>
        <row r="33">
          <cell r="F33">
            <v>2007678</v>
          </cell>
        </row>
        <row r="34">
          <cell r="F34">
            <v>523557</v>
          </cell>
        </row>
        <row r="41">
          <cell r="F41">
            <v>4642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CO08"/>
    </sheetNames>
    <sheetDataSet>
      <sheetData sheetId="0">
        <row r="33">
          <cell r="F33">
            <v>2019561</v>
          </cell>
        </row>
        <row r="34">
          <cell r="F34">
            <v>569388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CT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1780538</v>
          </cell>
        </row>
        <row r="27">
          <cell r="F27">
            <v>17068</v>
          </cell>
        </row>
        <row r="31">
          <cell r="F31">
            <v>10752</v>
          </cell>
        </row>
        <row r="33">
          <cell r="F33">
            <v>1484261</v>
          </cell>
        </row>
        <row r="34">
          <cell r="F34">
            <v>268457</v>
          </cell>
        </row>
        <row r="41">
          <cell r="F4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CT08"/>
    </sheetNames>
    <sheetDataSet>
      <sheetData sheetId="0">
        <row r="33">
          <cell r="F33">
            <v>1470599</v>
          </cell>
        </row>
        <row r="34">
          <cell r="F34">
            <v>296093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516848</v>
          </cell>
        </row>
        <row r="27">
          <cell r="F27">
            <v>22005</v>
          </cell>
        </row>
        <row r="31">
          <cell r="F31">
            <v>655</v>
          </cell>
        </row>
        <row r="33">
          <cell r="F33">
            <v>428670</v>
          </cell>
        </row>
        <row r="34">
          <cell r="F34">
            <v>65518</v>
          </cell>
        </row>
        <row r="41">
          <cell r="F41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435750</v>
          </cell>
        </row>
        <row r="34">
          <cell r="F34">
            <v>60262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142218</v>
          </cell>
        </row>
        <row r="27">
          <cell r="F27">
            <v>28194</v>
          </cell>
        </row>
        <row r="31">
          <cell r="F31">
            <v>0</v>
          </cell>
        </row>
        <row r="33">
          <cell r="F33">
            <v>92125</v>
          </cell>
        </row>
        <row r="34">
          <cell r="F34">
            <v>21899</v>
          </cell>
        </row>
        <row r="41">
          <cell r="F4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83529</v>
          </cell>
        </row>
        <row r="34">
          <cell r="F34">
            <v>26969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FL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9663900</v>
          </cell>
        </row>
        <row r="27">
          <cell r="F27">
            <v>13190</v>
          </cell>
        </row>
        <row r="31">
          <cell r="F31">
            <v>0</v>
          </cell>
        </row>
        <row r="33">
          <cell r="F33">
            <v>8090763</v>
          </cell>
        </row>
        <row r="34">
          <cell r="F34">
            <v>1334312</v>
          </cell>
        </row>
        <row r="41">
          <cell r="F41">
            <v>225635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AL08"/>
    </sheetNames>
    <sheetDataSet>
      <sheetData sheetId="0">
        <row r="33">
          <cell r="F33">
            <v>2542928</v>
          </cell>
        </row>
        <row r="34">
          <cell r="F34">
            <v>745210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FL08"/>
    </sheetNames>
    <sheetDataSet>
      <sheetData sheetId="0">
        <row r="33">
          <cell r="F33">
            <v>7998512</v>
          </cell>
        </row>
        <row r="34">
          <cell r="F34">
            <v>1495715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GA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6087206</v>
          </cell>
        </row>
        <row r="27">
          <cell r="F27">
            <v>0</v>
          </cell>
        </row>
        <row r="31">
          <cell r="F31">
            <v>0</v>
          </cell>
        </row>
        <row r="33">
          <cell r="F33">
            <v>4880045</v>
          </cell>
        </row>
        <row r="34">
          <cell r="F34">
            <v>1201345</v>
          </cell>
        </row>
        <row r="41">
          <cell r="F41">
            <v>5816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GA08"/>
    </sheetNames>
    <sheetDataSet>
      <sheetData sheetId="0">
        <row r="33">
          <cell r="F33">
            <v>4761811</v>
          </cell>
        </row>
        <row r="34">
          <cell r="F34">
            <v>1336493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501269</v>
          </cell>
        </row>
        <row r="27">
          <cell r="F27">
            <v>5044</v>
          </cell>
        </row>
        <row r="31">
          <cell r="F31">
            <v>0</v>
          </cell>
        </row>
        <row r="33">
          <cell r="F33">
            <v>446424</v>
          </cell>
        </row>
        <row r="34">
          <cell r="F34">
            <v>49458</v>
          </cell>
        </row>
        <row r="41">
          <cell r="F41">
            <v>343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440201</v>
          </cell>
        </row>
        <row r="34">
          <cell r="F34">
            <v>59017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891256</v>
          </cell>
        </row>
        <row r="27">
          <cell r="F27">
            <v>13013</v>
          </cell>
        </row>
        <row r="31">
          <cell r="F31">
            <v>4433</v>
          </cell>
        </row>
        <row r="33">
          <cell r="F33">
            <v>646206</v>
          </cell>
        </row>
        <row r="34">
          <cell r="F34">
            <v>227604</v>
          </cell>
        </row>
        <row r="41">
          <cell r="F41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621336</v>
          </cell>
        </row>
        <row r="34">
          <cell r="F34">
            <v>246705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6299582</v>
          </cell>
        </row>
        <row r="27">
          <cell r="F27">
            <v>32315</v>
          </cell>
        </row>
        <row r="31">
          <cell r="F31">
            <v>48354</v>
          </cell>
        </row>
        <row r="33">
          <cell r="F33">
            <v>4819075</v>
          </cell>
        </row>
        <row r="34">
          <cell r="F34">
            <v>1399838</v>
          </cell>
        </row>
        <row r="41">
          <cell r="F4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4882849</v>
          </cell>
        </row>
        <row r="34">
          <cell r="F34">
            <v>1438584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4203964</v>
          </cell>
        </row>
        <row r="27">
          <cell r="F27">
            <v>44043</v>
          </cell>
        </row>
        <row r="31">
          <cell r="F31">
            <v>24519</v>
          </cell>
        </row>
        <row r="33">
          <cell r="F33">
            <v>3016565</v>
          </cell>
        </row>
        <row r="34">
          <cell r="F34">
            <v>1118837</v>
          </cell>
        </row>
        <row r="41">
          <cell r="F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561970</v>
          </cell>
        </row>
        <row r="27">
          <cell r="F27">
            <v>69718</v>
          </cell>
        </row>
        <row r="31">
          <cell r="F31">
            <v>601</v>
          </cell>
        </row>
        <row r="33">
          <cell r="F33">
            <v>223486</v>
          </cell>
        </row>
        <row r="34">
          <cell r="F34">
            <v>267129</v>
          </cell>
        </row>
        <row r="41">
          <cell r="F41">
            <v>1036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3045280</v>
          </cell>
        </row>
        <row r="34">
          <cell r="F34">
            <v>1313018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2259074</v>
          </cell>
        </row>
        <row r="27">
          <cell r="F27">
            <v>0</v>
          </cell>
        </row>
        <row r="31">
          <cell r="F31">
            <v>108534</v>
          </cell>
        </row>
        <row r="33">
          <cell r="F33">
            <v>1539185</v>
          </cell>
        </row>
        <row r="34">
          <cell r="F34">
            <v>609332</v>
          </cell>
        </row>
        <row r="41">
          <cell r="F41">
            <v>2023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1529489</v>
          </cell>
        </row>
        <row r="34">
          <cell r="F34">
            <v>647244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1770551</v>
          </cell>
        </row>
        <row r="27">
          <cell r="F27">
            <v>42840</v>
          </cell>
        </row>
        <row r="31">
          <cell r="F31">
            <v>3992</v>
          </cell>
        </row>
        <row r="33">
          <cell r="F33">
            <v>1281879</v>
          </cell>
        </row>
        <row r="34">
          <cell r="F34">
            <v>441840</v>
          </cell>
        </row>
        <row r="41">
          <cell r="F41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1263507</v>
          </cell>
        </row>
        <row r="34">
          <cell r="F34">
            <v>481991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KY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2959330</v>
          </cell>
        </row>
        <row r="27">
          <cell r="F27">
            <v>720</v>
          </cell>
        </row>
        <row r="31">
          <cell r="F31">
            <v>4459</v>
          </cell>
        </row>
        <row r="33">
          <cell r="F33">
            <v>2210434</v>
          </cell>
        </row>
        <row r="34">
          <cell r="F34">
            <v>743717</v>
          </cell>
        </row>
        <row r="41">
          <cell r="F41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KY08"/>
    </sheetNames>
    <sheetDataSet>
      <sheetData sheetId="0">
        <row r="33">
          <cell r="F33">
            <v>2138523</v>
          </cell>
        </row>
        <row r="34">
          <cell r="F34">
            <v>822183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2991909</v>
          </cell>
        </row>
        <row r="27">
          <cell r="F27">
            <v>36524</v>
          </cell>
        </row>
        <row r="31">
          <cell r="F31">
            <v>825</v>
          </cell>
        </row>
        <row r="33">
          <cell r="F33">
            <v>2253296</v>
          </cell>
        </row>
        <row r="34">
          <cell r="F34">
            <v>700164</v>
          </cell>
        </row>
        <row r="41">
          <cell r="F41">
            <v>1100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2124410</v>
          </cell>
        </row>
        <row r="34">
          <cell r="F34">
            <v>697925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ME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864799</v>
          </cell>
        </row>
        <row r="27">
          <cell r="F27">
            <v>26924</v>
          </cell>
        </row>
        <row r="31">
          <cell r="F31">
            <v>930</v>
          </cell>
        </row>
        <row r="33">
          <cell r="F33">
            <v>650292</v>
          </cell>
        </row>
        <row r="34">
          <cell r="F34">
            <v>186653</v>
          </cell>
        </row>
        <row r="41">
          <cell r="F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207170</v>
          </cell>
        </row>
        <row r="34">
          <cell r="F34">
            <v>244816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ME08"/>
    </sheetNames>
    <sheetDataSet>
      <sheetData sheetId="0">
        <row r="33">
          <cell r="F33">
            <v>649209</v>
          </cell>
        </row>
        <row r="34">
          <cell r="F34">
            <v>180375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MD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3559271</v>
          </cell>
        </row>
        <row r="27">
          <cell r="F27">
            <v>159193</v>
          </cell>
        </row>
        <row r="31">
          <cell r="F31">
            <v>21493</v>
          </cell>
        </row>
        <row r="33">
          <cell r="F33">
            <v>2857047</v>
          </cell>
        </row>
        <row r="34">
          <cell r="F34">
            <v>519838</v>
          </cell>
        </row>
        <row r="41">
          <cell r="F41">
            <v>1700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MD08"/>
    </sheetNames>
    <sheetDataSet>
      <sheetData sheetId="0">
        <row r="33">
          <cell r="F33">
            <v>2681550</v>
          </cell>
        </row>
        <row r="34">
          <cell r="F34">
            <v>525138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3168825</v>
          </cell>
        </row>
        <row r="27">
          <cell r="F27">
            <v>3453</v>
          </cell>
        </row>
        <row r="31">
          <cell r="F31">
            <v>17148</v>
          </cell>
        </row>
        <row r="33">
          <cell r="F33">
            <v>2745142</v>
          </cell>
        </row>
        <row r="34">
          <cell r="F34">
            <v>403082</v>
          </cell>
        </row>
        <row r="41">
          <cell r="F41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2804535</v>
          </cell>
        </row>
        <row r="34">
          <cell r="F34">
            <v>369198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B9" refersTo="=GTA!$F$41"/>
    </definedNames>
    <sheetDataSet>
      <sheetData sheetId="0">
        <row r="13">
          <cell r="F13">
            <v>5345394</v>
          </cell>
        </row>
        <row r="27">
          <cell r="F27">
            <v>5719</v>
          </cell>
        </row>
        <row r="31">
          <cell r="F31">
            <v>53789</v>
          </cell>
        </row>
        <row r="33">
          <cell r="F33">
            <v>4499392</v>
          </cell>
        </row>
        <row r="34">
          <cell r="F34">
            <v>783592</v>
          </cell>
        </row>
        <row r="41">
          <cell r="F41">
            <v>2902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4512330</v>
          </cell>
        </row>
        <row r="34">
          <cell r="F34">
            <v>841734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3151182</v>
          </cell>
        </row>
        <row r="27">
          <cell r="F27">
            <v>87183</v>
          </cell>
        </row>
        <row r="31">
          <cell r="F31">
            <v>24811</v>
          </cell>
        </row>
        <row r="33">
          <cell r="F33">
            <v>2437534</v>
          </cell>
        </row>
        <row r="34">
          <cell r="F34">
            <v>598711</v>
          </cell>
        </row>
        <row r="41">
          <cell r="F41">
            <v>2943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2496953</v>
          </cell>
        </row>
        <row r="34">
          <cell r="F34">
            <v>668423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2130966</v>
          </cell>
        </row>
        <row r="27">
          <cell r="F27">
            <v>32079</v>
          </cell>
        </row>
        <row r="33">
          <cell r="F33">
            <v>1544276</v>
          </cell>
        </row>
        <row r="34">
          <cell r="F34">
            <v>554309</v>
          </cell>
        </row>
        <row r="41">
          <cell r="F41">
            <v>302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3367817</v>
          </cell>
        </row>
        <row r="27">
          <cell r="F27">
            <v>54448</v>
          </cell>
        </row>
        <row r="31">
          <cell r="F31">
            <v>12599</v>
          </cell>
        </row>
        <row r="33">
          <cell r="F33">
            <v>2556715</v>
          </cell>
        </row>
        <row r="34">
          <cell r="F34">
            <v>744055</v>
          </cell>
        </row>
        <row r="41">
          <cell r="F41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1611594</v>
          </cell>
        </row>
        <row r="34">
          <cell r="F34">
            <v>625861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4154886</v>
          </cell>
        </row>
        <row r="27">
          <cell r="F27">
            <v>34008</v>
          </cell>
        </row>
        <row r="31">
          <cell r="F31">
            <v>27778</v>
          </cell>
        </row>
        <row r="33">
          <cell r="F33">
            <v>3139815</v>
          </cell>
        </row>
        <row r="34">
          <cell r="F34">
            <v>953285</v>
          </cell>
        </row>
        <row r="41">
          <cell r="F41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3151363</v>
          </cell>
        </row>
        <row r="34">
          <cell r="F34">
            <v>996651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733626</v>
          </cell>
        </row>
        <row r="27">
          <cell r="F27">
            <v>0</v>
          </cell>
        </row>
        <row r="31">
          <cell r="F31">
            <v>7412</v>
          </cell>
        </row>
        <row r="33">
          <cell r="F33">
            <v>487588</v>
          </cell>
        </row>
        <row r="34">
          <cell r="F34">
            <v>237130</v>
          </cell>
        </row>
        <row r="41">
          <cell r="F41">
            <v>1496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473599</v>
          </cell>
        </row>
        <row r="34">
          <cell r="F34">
            <v>252978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1219229</v>
          </cell>
        </row>
        <row r="27">
          <cell r="F27">
            <v>2190</v>
          </cell>
        </row>
        <row r="31">
          <cell r="F31">
            <v>1077</v>
          </cell>
        </row>
        <row r="33">
          <cell r="F33">
            <v>814634</v>
          </cell>
        </row>
        <row r="34">
          <cell r="F34">
            <v>389441</v>
          </cell>
        </row>
        <row r="41">
          <cell r="F41">
            <v>11887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825227</v>
          </cell>
        </row>
        <row r="34">
          <cell r="F34">
            <v>405853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V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1419515</v>
          </cell>
        </row>
        <row r="27">
          <cell r="F27">
            <v>8821</v>
          </cell>
        </row>
        <row r="31">
          <cell r="F31">
            <v>1977</v>
          </cell>
        </row>
        <row r="33">
          <cell r="F33">
            <v>1093850</v>
          </cell>
        </row>
        <row r="34">
          <cell r="F34">
            <v>312855</v>
          </cell>
        </row>
        <row r="41">
          <cell r="F41">
            <v>2012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V08"/>
    </sheetNames>
    <sheetDataSet>
      <sheetData sheetId="0">
        <row r="33">
          <cell r="F33">
            <v>1125920</v>
          </cell>
        </row>
        <row r="34">
          <cell r="F34">
            <v>326952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810815</v>
          </cell>
        </row>
        <row r="27">
          <cell r="F27">
            <v>5530</v>
          </cell>
        </row>
        <row r="31">
          <cell r="F31">
            <v>3122</v>
          </cell>
        </row>
        <row r="33">
          <cell r="F33">
            <v>707791</v>
          </cell>
        </row>
        <row r="34">
          <cell r="F34">
            <v>93697</v>
          </cell>
        </row>
        <row r="41">
          <cell r="F41">
            <v>675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2660286</v>
          </cell>
        </row>
        <row r="34">
          <cell r="F34">
            <v>801940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709052</v>
          </cell>
        </row>
        <row r="34">
          <cell r="F34">
            <v>98975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J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5034892</v>
          </cell>
        </row>
        <row r="27">
          <cell r="F27">
            <v>0</v>
          </cell>
        </row>
        <row r="31">
          <cell r="F31">
            <v>2334</v>
          </cell>
        </row>
        <row r="33">
          <cell r="F33">
            <v>4191613</v>
          </cell>
        </row>
        <row r="34">
          <cell r="F34">
            <v>840945</v>
          </cell>
        </row>
        <row r="41">
          <cell r="F41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J08"/>
    </sheetNames>
    <sheetDataSet>
      <sheetData sheetId="0">
        <row r="33">
          <cell r="F33">
            <v>4277568</v>
          </cell>
        </row>
        <row r="34">
          <cell r="F34">
            <v>904689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1404367</v>
          </cell>
        </row>
        <row r="27">
          <cell r="F27">
            <v>73212</v>
          </cell>
        </row>
        <row r="31">
          <cell r="F31">
            <v>0</v>
          </cell>
        </row>
        <row r="33">
          <cell r="F33">
            <v>897353</v>
          </cell>
        </row>
        <row r="34">
          <cell r="F34">
            <v>433802</v>
          </cell>
        </row>
        <row r="41">
          <cell r="F41">
            <v>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861702</v>
          </cell>
        </row>
        <row r="34">
          <cell r="F34">
            <v>474110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7002961</v>
          </cell>
        </row>
        <row r="27">
          <cell r="F27">
            <v>356179</v>
          </cell>
        </row>
        <row r="31">
          <cell r="F31">
            <v>68683</v>
          </cell>
        </row>
        <row r="33">
          <cell r="F33">
            <v>5219702</v>
          </cell>
        </row>
        <row r="34">
          <cell r="F34">
            <v>1358397</v>
          </cell>
        </row>
        <row r="41">
          <cell r="F41">
            <v>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5183255</v>
          </cell>
        </row>
        <row r="34">
          <cell r="F34">
            <v>1423316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C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5371203</v>
          </cell>
        </row>
        <row r="27">
          <cell r="F27">
            <v>90005</v>
          </cell>
        </row>
        <row r="31">
          <cell r="F31">
            <v>172003</v>
          </cell>
        </row>
        <row r="33">
          <cell r="F33">
            <v>4143703</v>
          </cell>
        </row>
        <row r="34">
          <cell r="F34">
            <v>934388</v>
          </cell>
        </row>
        <row r="41">
          <cell r="F41">
            <v>31104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NC08"/>
    </sheetNames>
    <sheetDataSet>
      <sheetData sheetId="0">
        <row r="33">
          <cell r="F33">
            <v>4203913</v>
          </cell>
        </row>
        <row r="34">
          <cell r="F34">
            <v>974962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572499</v>
          </cell>
        </row>
        <row r="27">
          <cell r="F27">
            <v>5015</v>
          </cell>
        </row>
        <row r="31">
          <cell r="F31">
            <v>6425</v>
          </cell>
        </row>
        <row r="33">
          <cell r="F33">
            <v>360752</v>
          </cell>
        </row>
        <row r="34">
          <cell r="F34">
            <v>198427</v>
          </cell>
        </row>
        <row r="41">
          <cell r="F41">
            <v>1880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AR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2056827</v>
          </cell>
        </row>
        <row r="27">
          <cell r="F27">
            <v>28984</v>
          </cell>
        </row>
        <row r="31">
          <cell r="F31">
            <v>4421</v>
          </cell>
        </row>
        <row r="33">
          <cell r="F33">
            <v>1430479</v>
          </cell>
        </row>
        <row r="34">
          <cell r="F34">
            <v>592943</v>
          </cell>
        </row>
        <row r="41">
          <cell r="F41">
            <v>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351961</v>
          </cell>
        </row>
        <row r="34">
          <cell r="F34">
            <v>194415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6358721</v>
          </cell>
        </row>
        <row r="27">
          <cell r="F27">
            <v>84676</v>
          </cell>
        </row>
        <row r="31">
          <cell r="F31">
            <v>40104</v>
          </cell>
        </row>
        <row r="33">
          <cell r="F33">
            <v>4879180</v>
          </cell>
        </row>
        <row r="34">
          <cell r="F34">
            <v>1337712</v>
          </cell>
        </row>
        <row r="41">
          <cell r="F41">
            <v>17049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4923810</v>
          </cell>
        </row>
        <row r="34">
          <cell r="F34">
            <v>1514163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2572868</v>
          </cell>
        </row>
        <row r="27">
          <cell r="F27">
            <v>6346</v>
          </cell>
        </row>
        <row r="31">
          <cell r="F31">
            <v>5552</v>
          </cell>
        </row>
        <row r="33">
          <cell r="F33">
            <v>1830261</v>
          </cell>
        </row>
        <row r="34">
          <cell r="F34">
            <v>730465</v>
          </cell>
        </row>
        <row r="41">
          <cell r="F41">
            <v>244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1820453</v>
          </cell>
        </row>
        <row r="34">
          <cell r="F34">
            <v>912810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OR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2043510</v>
          </cell>
        </row>
        <row r="27">
          <cell r="F27">
            <v>0</v>
          </cell>
        </row>
        <row r="31">
          <cell r="F31">
            <v>1397</v>
          </cell>
        </row>
        <row r="33">
          <cell r="F33">
            <v>1535893</v>
          </cell>
        </row>
        <row r="34">
          <cell r="F34">
            <v>502709</v>
          </cell>
        </row>
        <row r="41">
          <cell r="F41">
            <v>3511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OR08"/>
    </sheetNames>
    <sheetDataSet>
      <sheetData sheetId="0">
        <row r="33">
          <cell r="F33">
            <v>1504683</v>
          </cell>
        </row>
        <row r="34">
          <cell r="F34">
            <v>540254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6469762</v>
          </cell>
        </row>
        <row r="27">
          <cell r="F27">
            <v>230096</v>
          </cell>
        </row>
        <row r="31">
          <cell r="F31">
            <v>4254</v>
          </cell>
        </row>
        <row r="33">
          <cell r="F33">
            <v>4844364</v>
          </cell>
        </row>
        <row r="34">
          <cell r="F34">
            <v>1387647</v>
          </cell>
        </row>
        <row r="41">
          <cell r="F41">
            <v>3401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4948844</v>
          </cell>
        </row>
        <row r="34">
          <cell r="F34">
            <v>1332938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RI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451949</v>
          </cell>
        </row>
        <row r="27">
          <cell r="F27">
            <v>14956</v>
          </cell>
        </row>
        <row r="31">
          <cell r="F31">
            <v>0</v>
          </cell>
        </row>
        <row r="33">
          <cell r="F33">
            <v>380820</v>
          </cell>
        </row>
        <row r="34">
          <cell r="F34">
            <v>56173</v>
          </cell>
        </row>
        <row r="41">
          <cell r="F4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AR08"/>
    </sheetNames>
    <sheetDataSet>
      <sheetData sheetId="0">
        <row r="33">
          <cell r="F33">
            <v>1272747</v>
          </cell>
        </row>
        <row r="34">
          <cell r="F34">
            <v>628147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RI08"/>
    </sheetNames>
    <sheetDataSet>
      <sheetData sheetId="0">
        <row r="33">
          <cell r="F33">
            <v>394435</v>
          </cell>
        </row>
        <row r="34">
          <cell r="F34">
            <v>56475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SC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3365208</v>
          </cell>
        </row>
        <row r="27">
          <cell r="F27">
            <v>7141</v>
          </cell>
        </row>
        <row r="31">
          <cell r="F31">
            <v>13</v>
          </cell>
        </row>
        <row r="33">
          <cell r="F33">
            <v>2714953</v>
          </cell>
        </row>
        <row r="34">
          <cell r="F34">
            <v>643101</v>
          </cell>
        </row>
        <row r="41">
          <cell r="F41">
            <v>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SC08"/>
    </sheetNames>
    <sheetDataSet>
      <sheetData sheetId="0">
        <row r="33">
          <cell r="F33">
            <v>2568755</v>
          </cell>
        </row>
        <row r="34">
          <cell r="F34">
            <v>664565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648551</v>
          </cell>
        </row>
        <row r="27">
          <cell r="F27">
            <v>10307</v>
          </cell>
        </row>
        <row r="31">
          <cell r="F31">
            <v>5108</v>
          </cell>
        </row>
        <row r="33">
          <cell r="F33">
            <v>433531</v>
          </cell>
        </row>
        <row r="34">
          <cell r="F34">
            <v>199605</v>
          </cell>
        </row>
        <row r="41">
          <cell r="F41">
            <v>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406335</v>
          </cell>
        </row>
        <row r="34">
          <cell r="F34">
            <v>205693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TN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3989927</v>
          </cell>
        </row>
        <row r="27">
          <cell r="F27">
            <v>54384</v>
          </cell>
        </row>
        <row r="31">
          <cell r="F31">
            <v>53216</v>
          </cell>
        </row>
        <row r="33">
          <cell r="F33">
            <v>3055764</v>
          </cell>
        </row>
        <row r="34">
          <cell r="F34">
            <v>826563</v>
          </cell>
        </row>
        <row r="41">
          <cell r="F41">
            <v>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2984048</v>
          </cell>
        </row>
        <row r="34">
          <cell r="F34">
            <v>1002930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15793901</v>
          </cell>
        </row>
        <row r="27">
          <cell r="F27">
            <v>117371</v>
          </cell>
        </row>
        <row r="31">
          <cell r="F31">
            <v>5839</v>
          </cell>
        </row>
        <row r="33">
          <cell r="F33">
            <v>11880506</v>
          </cell>
        </row>
        <row r="34">
          <cell r="F34">
            <v>3767938</v>
          </cell>
        </row>
        <row r="41">
          <cell r="F41">
            <v>22247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11932835</v>
          </cell>
        </row>
        <row r="34">
          <cell r="F34">
            <v>4176686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UT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1484199</v>
          </cell>
        </row>
        <row r="27">
          <cell r="F27">
            <v>42928</v>
          </cell>
        </row>
        <row r="31">
          <cell r="F31">
            <v>972</v>
          </cell>
        </row>
        <row r="33">
          <cell r="F33">
            <v>1022255</v>
          </cell>
        </row>
        <row r="34">
          <cell r="F34">
            <v>418044</v>
          </cell>
        </row>
        <row r="41">
          <cell r="F41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17559876</v>
          </cell>
        </row>
        <row r="27">
          <cell r="F27">
            <v>1575</v>
          </cell>
        </row>
        <row r="31">
          <cell r="F31">
            <v>23469</v>
          </cell>
        </row>
        <row r="33">
          <cell r="F33">
            <v>14720097</v>
          </cell>
        </row>
        <row r="34">
          <cell r="F34">
            <v>2729915</v>
          </cell>
        </row>
        <row r="41">
          <cell r="F41">
            <v>84820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UT08"/>
    </sheetNames>
    <sheetDataSet>
      <sheetData sheetId="0">
        <row r="33">
          <cell r="F33">
            <v>1028624</v>
          </cell>
        </row>
        <row r="34">
          <cell r="F34">
            <v>445362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VT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388949</v>
          </cell>
        </row>
        <row r="27">
          <cell r="F27">
            <v>3131</v>
          </cell>
        </row>
        <row r="31">
          <cell r="F31">
            <v>0</v>
          </cell>
        </row>
        <row r="33">
          <cell r="F33">
            <v>331440</v>
          </cell>
        </row>
        <row r="34">
          <cell r="F34">
            <v>54378</v>
          </cell>
        </row>
        <row r="41">
          <cell r="F41">
            <v>0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VT08"/>
    </sheetNames>
    <sheetDataSet>
      <sheetData sheetId="0">
        <row r="33">
          <cell r="F33">
            <v>329931</v>
          </cell>
        </row>
        <row r="34">
          <cell r="F34">
            <v>61075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4896918</v>
          </cell>
        </row>
        <row r="27">
          <cell r="F27">
            <v>47517</v>
          </cell>
        </row>
        <row r="31">
          <cell r="F31">
            <v>75675</v>
          </cell>
        </row>
        <row r="33">
          <cell r="F33">
            <v>3788232</v>
          </cell>
        </row>
        <row r="34">
          <cell r="F34">
            <v>978699</v>
          </cell>
        </row>
        <row r="41">
          <cell r="F41">
            <v>6795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3892779</v>
          </cell>
        </row>
        <row r="34">
          <cell r="F34">
            <v>973716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WA09"/>
    </sheetNames>
    <definedNames>
      <definedName name="G1A9" refersTo="=GTA!$F$13"/>
      <definedName name="G2T" refersTo="=GTA!$F$27"/>
      <definedName name="G4X" refersTo="=GTA!$F$31"/>
      <definedName name="G5A1" refersTo="=GTA!$F$33"/>
      <definedName name="G5A2" refersTo="=GTA!$F$34"/>
      <definedName name="G5B9" refersTo="=GTA!$F$41"/>
    </definedNames>
    <sheetDataSet>
      <sheetData sheetId="0">
        <row r="13">
          <cell r="F13">
            <v>3307714</v>
          </cell>
        </row>
        <row r="27">
          <cell r="F27">
            <v>28319</v>
          </cell>
        </row>
        <row r="31">
          <cell r="F31">
            <v>49159</v>
          </cell>
        </row>
        <row r="33">
          <cell r="F33">
            <v>2630840</v>
          </cell>
        </row>
        <row r="34">
          <cell r="F34">
            <v>599396</v>
          </cell>
        </row>
        <row r="41">
          <cell r="F41">
            <v>0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  <sheetName val="GTAWA08"/>
    </sheetNames>
    <sheetDataSet>
      <sheetData sheetId="0">
        <row r="33">
          <cell r="F33">
            <v>2578994</v>
          </cell>
        </row>
        <row r="34">
          <cell r="F34">
            <v>661409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1106354</v>
          </cell>
        </row>
        <row r="27">
          <cell r="F27">
            <v>0</v>
          </cell>
        </row>
        <row r="31">
          <cell r="F31">
            <v>5864</v>
          </cell>
        </row>
        <row r="33">
          <cell r="F33">
            <v>828311</v>
          </cell>
        </row>
        <row r="34">
          <cell r="F34">
            <v>272179</v>
          </cell>
        </row>
        <row r="41">
          <cell r="F41">
            <v>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sheetDataSet>
      <sheetData sheetId="0">
        <row r="33">
          <cell r="F33">
            <v>760502</v>
          </cell>
        </row>
        <row r="34">
          <cell r="F34">
            <v>287134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GTA"/>
      <sheetName val="MACROS"/>
      <sheetName val="MESSAGES"/>
      <sheetName val="NOTES"/>
    </sheetNames>
    <definedNames>
      <definedName name="G1A9" sheetId="0" refersTo="=GTA!$F$13"/>
      <definedName name="G2T" sheetId="0" refersTo="=GTA!$F$27"/>
      <definedName name="G4X" sheetId="0" refersTo="=GTA!$F$31"/>
      <definedName name="G5A1" sheetId="0" refersTo="=GTA!$F$33"/>
      <definedName name="G5A2" sheetId="0" refersTo="=GTA!$F$34"/>
      <definedName name="G5B9" sheetId="0" refersTo="=GTA!$F$41"/>
    </definedNames>
    <sheetDataSet>
      <sheetData sheetId="0">
        <row r="13">
          <cell r="F13">
            <v>3196139</v>
          </cell>
        </row>
        <row r="27">
          <cell r="F27">
            <v>33984</v>
          </cell>
        </row>
        <row r="31">
          <cell r="F31">
            <v>34406</v>
          </cell>
        </row>
        <row r="33">
          <cell r="F33">
            <v>2448963</v>
          </cell>
        </row>
        <row r="34">
          <cell r="F34">
            <v>678786</v>
          </cell>
        </row>
        <row r="41">
          <cell r="F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W1956"/>
  <sheetViews>
    <sheetView showGridLines="0" defaultGridColor="0" view="pageLayout" zoomScaleNormal="90" colorId="22" workbookViewId="0" topLeftCell="A7">
      <selection activeCell="B13" sqref="B13:Q65"/>
    </sheetView>
  </sheetViews>
  <sheetFormatPr defaultColWidth="9.796875" defaultRowHeight="8.25"/>
  <cols>
    <col min="1" max="1" width="19.19921875" style="1" customWidth="1"/>
    <col min="2" max="2" width="17.3984375" style="1" customWidth="1"/>
    <col min="3" max="3" width="12.796875" style="1" customWidth="1"/>
    <col min="4" max="4" width="17.3984375" style="1" customWidth="1"/>
    <col min="5" max="5" width="12.796875" style="1" customWidth="1"/>
    <col min="6" max="7" width="17.3984375" style="1" customWidth="1"/>
    <col min="8" max="8" width="10.796875" style="1" customWidth="1"/>
    <col min="9" max="9" width="1.796875" style="1" customWidth="1"/>
    <col min="10" max="10" width="16.796875" style="1" customWidth="1"/>
    <col min="11" max="11" width="10.796875" style="1" customWidth="1"/>
    <col min="12" max="12" width="1.796875" style="1" customWidth="1"/>
    <col min="13" max="14" width="16.796875" style="1" customWidth="1"/>
    <col min="15" max="15" width="11.19921875" style="1" customWidth="1"/>
    <col min="16" max="16" width="1.796875" style="1" customWidth="1"/>
    <col min="17" max="18" width="14.796875" style="1" customWidth="1"/>
    <col min="19" max="22" width="16.796875" style="1" customWidth="1"/>
    <col min="23" max="16384" width="9.796875" style="1" customWidth="1"/>
  </cols>
  <sheetData>
    <row r="1" spans="1:49" ht="8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">
      <c r="A2" s="5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1.25">
      <c r="A3" s="6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8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3.5" customHeight="1">
      <c r="A5" s="5" t="s">
        <v>89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58"/>
      <c r="T6" s="3"/>
      <c r="U6" s="3"/>
      <c r="V6" s="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8.25" customHeight="1">
      <c r="A7" s="97" t="s">
        <v>90</v>
      </c>
      <c r="B7" s="98"/>
      <c r="C7" s="98"/>
      <c r="D7" s="98"/>
      <c r="E7" s="98"/>
      <c r="F7" s="98"/>
      <c r="G7" s="99" t="s">
        <v>0</v>
      </c>
      <c r="H7" s="98"/>
      <c r="I7" s="98"/>
      <c r="J7" s="98"/>
      <c r="K7" s="98"/>
      <c r="L7" s="98"/>
      <c r="M7" s="98"/>
      <c r="N7" s="98"/>
      <c r="O7" s="100"/>
      <c r="P7" s="100"/>
      <c r="Q7" s="101" t="s">
        <v>1</v>
      </c>
      <c r="R7" s="9"/>
      <c r="S7" s="59">
        <v>2008</v>
      </c>
      <c r="T7" s="3"/>
      <c r="U7" s="3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7.5" customHeight="1">
      <c r="A8" s="61"/>
      <c r="B8" s="61"/>
      <c r="C8" s="61"/>
      <c r="D8" s="61"/>
      <c r="E8" s="61"/>
      <c r="F8" s="62" t="s">
        <v>2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  <c r="R8" s="10"/>
      <c r="S8" s="11"/>
      <c r="T8" s="12"/>
      <c r="U8" s="11"/>
      <c r="V8" s="1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7.5" customHeight="1">
      <c r="A9" s="65"/>
      <c r="B9" s="65"/>
      <c r="C9" s="66"/>
      <c r="D9" s="66"/>
      <c r="E9" s="66"/>
      <c r="F9" s="65"/>
      <c r="G9" s="67" t="s">
        <v>3</v>
      </c>
      <c r="H9" s="68"/>
      <c r="I9" s="68"/>
      <c r="J9" s="68"/>
      <c r="K9" s="68"/>
      <c r="L9" s="68"/>
      <c r="M9" s="68"/>
      <c r="N9" s="68"/>
      <c r="O9" s="68"/>
      <c r="P9" s="68"/>
      <c r="Q9" s="69"/>
      <c r="R9" s="14"/>
      <c r="S9" s="15" t="s">
        <v>4</v>
      </c>
      <c r="T9" s="16" t="s">
        <v>5</v>
      </c>
      <c r="U9" s="2"/>
      <c r="V9" s="1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7.5" customHeight="1">
      <c r="A10" s="65"/>
      <c r="B10" s="66"/>
      <c r="C10" s="66"/>
      <c r="D10" s="66"/>
      <c r="E10" s="66"/>
      <c r="F10" s="66"/>
      <c r="G10" s="67" t="s">
        <v>6</v>
      </c>
      <c r="H10" s="68"/>
      <c r="I10" s="68"/>
      <c r="J10" s="67" t="s">
        <v>7</v>
      </c>
      <c r="K10" s="68"/>
      <c r="L10" s="68"/>
      <c r="M10" s="67" t="s">
        <v>8</v>
      </c>
      <c r="N10" s="68"/>
      <c r="O10" s="68"/>
      <c r="P10" s="68"/>
      <c r="Q10" s="69"/>
      <c r="R10" s="14"/>
      <c r="S10" s="18"/>
      <c r="T10" s="19"/>
      <c r="U10" s="18"/>
      <c r="V10" s="2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45" customHeight="1">
      <c r="A11" s="66" t="s">
        <v>9</v>
      </c>
      <c r="B11" s="70" t="s">
        <v>81</v>
      </c>
      <c r="C11" s="70" t="s">
        <v>82</v>
      </c>
      <c r="D11" s="70" t="s">
        <v>83</v>
      </c>
      <c r="E11" s="70" t="s">
        <v>84</v>
      </c>
      <c r="F11" s="70" t="s">
        <v>92</v>
      </c>
      <c r="G11" s="70" t="s">
        <v>93</v>
      </c>
      <c r="H11" s="70" t="s">
        <v>85</v>
      </c>
      <c r="I11" s="71"/>
      <c r="J11" s="70" t="s">
        <v>93</v>
      </c>
      <c r="K11" s="70" t="s">
        <v>85</v>
      </c>
      <c r="L11" s="71"/>
      <c r="M11" s="70" t="s">
        <v>93</v>
      </c>
      <c r="N11" s="70" t="s">
        <v>88</v>
      </c>
      <c r="O11" s="70" t="s">
        <v>85</v>
      </c>
      <c r="P11" s="71"/>
      <c r="Q11" s="72" t="s">
        <v>86</v>
      </c>
      <c r="R11" s="21"/>
      <c r="S11" s="55" t="s">
        <v>87</v>
      </c>
      <c r="T11" s="56" t="s">
        <v>11</v>
      </c>
      <c r="U11" s="2"/>
      <c r="V11" s="1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3.75" customHeight="1">
      <c r="A12" s="73"/>
      <c r="B12" s="73"/>
      <c r="C12" s="73"/>
      <c r="D12" s="73"/>
      <c r="E12" s="73"/>
      <c r="F12" s="73"/>
      <c r="G12" s="73"/>
      <c r="H12" s="67"/>
      <c r="I12" s="68"/>
      <c r="J12" s="73"/>
      <c r="K12" s="67"/>
      <c r="L12" s="68"/>
      <c r="M12" s="73"/>
      <c r="N12" s="73"/>
      <c r="O12" s="67"/>
      <c r="P12" s="68"/>
      <c r="Q12" s="74"/>
      <c r="R12" s="8"/>
      <c r="S12" s="22"/>
      <c r="T12" s="23" t="s">
        <v>13</v>
      </c>
      <c r="U12" s="23" t="s">
        <v>12</v>
      </c>
      <c r="V12" s="24" t="s">
        <v>10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7.5" customHeight="1">
      <c r="A13" s="65" t="s">
        <v>14</v>
      </c>
      <c r="B13" s="75">
        <f>[1]!G1A9</f>
        <v>3294312</v>
      </c>
      <c r="C13" s="75">
        <f>[1]!G2T</f>
        <v>61174</v>
      </c>
      <c r="D13" s="75">
        <f>B13-C13</f>
        <v>3233138</v>
      </c>
      <c r="E13" s="75">
        <f>[1]!G4X</f>
        <v>4220</v>
      </c>
      <c r="F13" s="75">
        <f aca="true" t="shared" si="0" ref="F13:F44">D13-E13</f>
        <v>3228918</v>
      </c>
      <c r="G13" s="75">
        <f>[1]!G5A1</f>
        <v>2513306</v>
      </c>
      <c r="H13" s="76">
        <f aca="true" t="shared" si="1" ref="H13:H44">ROUND((G13-T13)/T13*100,1)</f>
        <v>-1.2</v>
      </c>
      <c r="I13" s="77"/>
      <c r="J13" s="75">
        <f>[1]!G5A2</f>
        <v>712799</v>
      </c>
      <c r="K13" s="76">
        <f aca="true" t="shared" si="2" ref="K13:K44">ROUND((J13-U13)/U13*100,1)</f>
        <v>-4.3</v>
      </c>
      <c r="L13" s="77"/>
      <c r="M13" s="75">
        <f aca="true" t="shared" si="3" ref="M13:M44">G13+J13</f>
        <v>3226105</v>
      </c>
      <c r="N13" s="75">
        <f aca="true" t="shared" si="4" ref="N13:N44">V13</f>
        <v>3288138</v>
      </c>
      <c r="O13" s="76">
        <f aca="true" t="shared" si="5" ref="O13:O44">ROUND((M13-N13)/N13*100,1)</f>
        <v>-1.9</v>
      </c>
      <c r="P13" s="77"/>
      <c r="Q13" s="78">
        <f>[1]!G5B9</f>
        <v>2813</v>
      </c>
      <c r="R13" s="25"/>
      <c r="S13" s="26">
        <f>'[2]GTA'!F$34</f>
        <v>745210</v>
      </c>
      <c r="T13" s="27">
        <f>'[2]GTA'!F$33</f>
        <v>2542928</v>
      </c>
      <c r="U13" s="27">
        <f>'[2]GTA'!F$34</f>
        <v>745210</v>
      </c>
      <c r="V13" s="28">
        <f aca="true" t="shared" si="6" ref="V13:V63">T13+U13</f>
        <v>3288138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7.5" customHeight="1">
      <c r="A14" s="65" t="s">
        <v>15</v>
      </c>
      <c r="B14" s="75">
        <f>[3]!G1A9</f>
        <v>561970</v>
      </c>
      <c r="C14" s="75">
        <f>[3]!G2T</f>
        <v>69718</v>
      </c>
      <c r="D14" s="75">
        <f aca="true" t="shared" si="7" ref="D14:D63">B14-C14</f>
        <v>492252</v>
      </c>
      <c r="E14" s="75">
        <f>[3]!G4X</f>
        <v>601</v>
      </c>
      <c r="F14" s="75">
        <f t="shared" si="0"/>
        <v>491651</v>
      </c>
      <c r="G14" s="75">
        <f>[3]!G5A1</f>
        <v>223486</v>
      </c>
      <c r="H14" s="76">
        <f t="shared" si="1"/>
        <v>7.9</v>
      </c>
      <c r="I14" s="77"/>
      <c r="J14" s="75">
        <f>[3]!G5A2</f>
        <v>267129</v>
      </c>
      <c r="K14" s="76">
        <f t="shared" si="2"/>
        <v>9.1</v>
      </c>
      <c r="L14" s="77"/>
      <c r="M14" s="75">
        <f t="shared" si="3"/>
        <v>490615</v>
      </c>
      <c r="N14" s="75">
        <f t="shared" si="4"/>
        <v>451986</v>
      </c>
      <c r="O14" s="76">
        <f t="shared" si="5"/>
        <v>8.5</v>
      </c>
      <c r="P14" s="77"/>
      <c r="Q14" s="78">
        <f>[3]!G5B9</f>
        <v>1036</v>
      </c>
      <c r="R14" s="25"/>
      <c r="S14" s="26">
        <f>'[4]GTA'!F$34</f>
        <v>244816</v>
      </c>
      <c r="T14" s="27">
        <f>'[4]GTA'!F$33</f>
        <v>207170</v>
      </c>
      <c r="U14" s="27">
        <f>'[4]GTA'!F$34</f>
        <v>244816</v>
      </c>
      <c r="V14" s="28">
        <f t="shared" si="6"/>
        <v>451986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7.5" customHeight="1">
      <c r="A15" s="65" t="s">
        <v>16</v>
      </c>
      <c r="B15" s="75">
        <f>[5]!G1A9</f>
        <v>3367817</v>
      </c>
      <c r="C15" s="75">
        <f>[5]!G2T</f>
        <v>54448</v>
      </c>
      <c r="D15" s="75">
        <f t="shared" si="7"/>
        <v>3313369</v>
      </c>
      <c r="E15" s="75">
        <f>[5]!G4X</f>
        <v>12599</v>
      </c>
      <c r="F15" s="75">
        <f t="shared" si="0"/>
        <v>3300770</v>
      </c>
      <c r="G15" s="75">
        <f>[5]!G5A1</f>
        <v>2556715</v>
      </c>
      <c r="H15" s="76">
        <f t="shared" si="1"/>
        <v>-3.9</v>
      </c>
      <c r="I15" s="77"/>
      <c r="J15" s="75">
        <f>[5]!G5A2</f>
        <v>744055</v>
      </c>
      <c r="K15" s="76">
        <f t="shared" si="2"/>
        <v>-7.2</v>
      </c>
      <c r="L15" s="77"/>
      <c r="M15" s="75">
        <f t="shared" si="3"/>
        <v>3300770</v>
      </c>
      <c r="N15" s="75">
        <f t="shared" si="4"/>
        <v>3462226</v>
      </c>
      <c r="O15" s="76">
        <f t="shared" si="5"/>
        <v>-4.7</v>
      </c>
      <c r="P15" s="77"/>
      <c r="Q15" s="78">
        <f>[5]!G5B9</f>
        <v>0</v>
      </c>
      <c r="R15" s="25"/>
      <c r="S15" s="26">
        <f>'[6]GTA'!F$34</f>
        <v>801940</v>
      </c>
      <c r="T15" s="27">
        <f>'[6]GTA'!F$33</f>
        <v>2660286</v>
      </c>
      <c r="U15" s="27">
        <f>'[6]GTA'!F$34</f>
        <v>801940</v>
      </c>
      <c r="V15" s="28">
        <f t="shared" si="6"/>
        <v>3462226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7.5" customHeight="1">
      <c r="A16" s="73" t="s">
        <v>17</v>
      </c>
      <c r="B16" s="75">
        <f>[7]!G1A9</f>
        <v>2056827</v>
      </c>
      <c r="C16" s="75">
        <f>[7]!G2T</f>
        <v>28984</v>
      </c>
      <c r="D16" s="75">
        <f t="shared" si="7"/>
        <v>2027843</v>
      </c>
      <c r="E16" s="75">
        <f>[7]!G4X</f>
        <v>4421</v>
      </c>
      <c r="F16" s="75">
        <f t="shared" si="0"/>
        <v>2023422</v>
      </c>
      <c r="G16" s="75">
        <f>[7]!G5A1</f>
        <v>1430479</v>
      </c>
      <c r="H16" s="76">
        <f t="shared" si="1"/>
        <v>12.4</v>
      </c>
      <c r="I16" s="79"/>
      <c r="J16" s="75">
        <f>[7]!G5A2</f>
        <v>592943</v>
      </c>
      <c r="K16" s="76">
        <f t="shared" si="2"/>
        <v>-5.6</v>
      </c>
      <c r="L16" s="79"/>
      <c r="M16" s="75">
        <f t="shared" si="3"/>
        <v>2023422</v>
      </c>
      <c r="N16" s="75">
        <f t="shared" si="4"/>
        <v>1900894</v>
      </c>
      <c r="O16" s="76">
        <f t="shared" si="5"/>
        <v>6.4</v>
      </c>
      <c r="P16" s="79"/>
      <c r="Q16" s="78">
        <f>[7]!G5B9</f>
        <v>0</v>
      </c>
      <c r="R16" s="25"/>
      <c r="S16" s="26">
        <f>'[8]GTA'!F$34</f>
        <v>628147</v>
      </c>
      <c r="T16" s="27">
        <f>'[8]GTA'!F$33</f>
        <v>1272747</v>
      </c>
      <c r="U16" s="27">
        <f>'[8]GTA'!F$34</f>
        <v>628147</v>
      </c>
      <c r="V16" s="29">
        <f t="shared" si="6"/>
        <v>1900894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7.5" customHeight="1">
      <c r="A17" s="65" t="s">
        <v>18</v>
      </c>
      <c r="B17" s="80">
        <f>[9]!G1A9</f>
        <v>17559876</v>
      </c>
      <c r="C17" s="80">
        <f>[9]!G2T</f>
        <v>1575</v>
      </c>
      <c r="D17" s="80">
        <f t="shared" si="7"/>
        <v>17558301</v>
      </c>
      <c r="E17" s="80">
        <f>[9]!G4X</f>
        <v>23469</v>
      </c>
      <c r="F17" s="80">
        <f t="shared" si="0"/>
        <v>17534832</v>
      </c>
      <c r="G17" s="80">
        <f>[9]!G5A1</f>
        <v>14720097</v>
      </c>
      <c r="H17" s="81">
        <f t="shared" si="1"/>
        <v>-2.1</v>
      </c>
      <c r="I17" s="82"/>
      <c r="J17" s="80">
        <f>[9]!G5A2</f>
        <v>2729915</v>
      </c>
      <c r="K17" s="81">
        <f t="shared" si="2"/>
        <v>-2.4</v>
      </c>
      <c r="L17" s="82"/>
      <c r="M17" s="80">
        <f t="shared" si="3"/>
        <v>17450012</v>
      </c>
      <c r="N17" s="80">
        <f t="shared" si="4"/>
        <v>17829713</v>
      </c>
      <c r="O17" s="81">
        <f t="shared" si="5"/>
        <v>-2.1</v>
      </c>
      <c r="P17" s="82"/>
      <c r="Q17" s="83">
        <f>[9]!G5B9</f>
        <v>84820</v>
      </c>
      <c r="R17" s="30"/>
      <c r="S17" s="31">
        <f>'[10]GTA'!F$34</f>
        <v>2797481</v>
      </c>
      <c r="T17" s="32">
        <f>'[10]GTA'!F$33</f>
        <v>15032232</v>
      </c>
      <c r="U17" s="33">
        <f>'[10]GTA'!F$34</f>
        <v>2797481</v>
      </c>
      <c r="V17" s="28">
        <f t="shared" si="6"/>
        <v>17829713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7.5" customHeight="1">
      <c r="A18" s="65" t="s">
        <v>19</v>
      </c>
      <c r="B18" s="75">
        <f>[11]!G1A9</f>
        <v>2622256</v>
      </c>
      <c r="C18" s="75">
        <f>[11]!G2T</f>
        <v>73778</v>
      </c>
      <c r="D18" s="75">
        <f t="shared" si="7"/>
        <v>2548478</v>
      </c>
      <c r="E18" s="75">
        <f>[11]!G4X</f>
        <v>12601</v>
      </c>
      <c r="F18" s="75">
        <f t="shared" si="0"/>
        <v>2535877</v>
      </c>
      <c r="G18" s="75">
        <f>[11]!G5A1</f>
        <v>2007678</v>
      </c>
      <c r="H18" s="76">
        <f t="shared" si="1"/>
        <v>-0.6</v>
      </c>
      <c r="I18" s="79"/>
      <c r="J18" s="75">
        <f>[11]!G5A2</f>
        <v>523557</v>
      </c>
      <c r="K18" s="76">
        <f t="shared" si="2"/>
        <v>-8</v>
      </c>
      <c r="L18" s="79"/>
      <c r="M18" s="75">
        <f t="shared" si="3"/>
        <v>2531235</v>
      </c>
      <c r="N18" s="75">
        <f t="shared" si="4"/>
        <v>2588949</v>
      </c>
      <c r="O18" s="76">
        <f t="shared" si="5"/>
        <v>-2.2</v>
      </c>
      <c r="P18" s="79"/>
      <c r="Q18" s="78">
        <f>[11]!G5B9</f>
        <v>4642</v>
      </c>
      <c r="R18" s="25"/>
      <c r="S18" s="34">
        <f>'[12]GTA'!F$34</f>
        <v>569388</v>
      </c>
      <c r="T18" s="27">
        <f>'[12]GTA'!F$33</f>
        <v>2019561</v>
      </c>
      <c r="U18" s="28">
        <f>'[12]GTA'!F$34</f>
        <v>569388</v>
      </c>
      <c r="V18" s="28">
        <f t="shared" si="6"/>
        <v>2588949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7.5" customHeight="1">
      <c r="A19" s="65" t="s">
        <v>20</v>
      </c>
      <c r="B19" s="75">
        <f>[13]!G1A9</f>
        <v>1780538</v>
      </c>
      <c r="C19" s="75">
        <f>[13]!G2T</f>
        <v>17068</v>
      </c>
      <c r="D19" s="75">
        <f t="shared" si="7"/>
        <v>1763470</v>
      </c>
      <c r="E19" s="75">
        <f>[13]!G4X</f>
        <v>10752</v>
      </c>
      <c r="F19" s="75">
        <f t="shared" si="0"/>
        <v>1752718</v>
      </c>
      <c r="G19" s="75">
        <f>[13]!G5A1</f>
        <v>1484261</v>
      </c>
      <c r="H19" s="76">
        <f t="shared" si="1"/>
        <v>0.9</v>
      </c>
      <c r="I19" s="79"/>
      <c r="J19" s="75">
        <f>[13]!G5A2</f>
        <v>268457</v>
      </c>
      <c r="K19" s="76">
        <f t="shared" si="2"/>
        <v>-9.3</v>
      </c>
      <c r="L19" s="79"/>
      <c r="M19" s="75">
        <f t="shared" si="3"/>
        <v>1752718</v>
      </c>
      <c r="N19" s="75">
        <f t="shared" si="4"/>
        <v>1766692</v>
      </c>
      <c r="O19" s="76">
        <f t="shared" si="5"/>
        <v>-0.8</v>
      </c>
      <c r="P19" s="79"/>
      <c r="Q19" s="78">
        <f>[13]!G5B9</f>
        <v>0</v>
      </c>
      <c r="R19" s="25"/>
      <c r="S19" s="34">
        <f>'[14]GTA'!F$34</f>
        <v>296093</v>
      </c>
      <c r="T19" s="27">
        <f>'[14]GTA'!F$33</f>
        <v>1470599</v>
      </c>
      <c r="U19" s="28">
        <f>'[14]GTA'!F$34</f>
        <v>296093</v>
      </c>
      <c r="V19" s="28">
        <f t="shared" si="6"/>
        <v>1766692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7.5" customHeight="1">
      <c r="A20" s="73" t="s">
        <v>21</v>
      </c>
      <c r="B20" s="84">
        <f>[15]!G1A9</f>
        <v>516848</v>
      </c>
      <c r="C20" s="84">
        <f>[15]!G2T</f>
        <v>22005</v>
      </c>
      <c r="D20" s="84">
        <f t="shared" si="7"/>
        <v>494843</v>
      </c>
      <c r="E20" s="84">
        <f>[15]!G4X</f>
        <v>655</v>
      </c>
      <c r="F20" s="84">
        <f t="shared" si="0"/>
        <v>494188</v>
      </c>
      <c r="G20" s="84">
        <f>[15]!G5A1</f>
        <v>428670</v>
      </c>
      <c r="H20" s="85">
        <f t="shared" si="1"/>
        <v>-1.6</v>
      </c>
      <c r="I20" s="86"/>
      <c r="J20" s="84">
        <f>[15]!G5A2</f>
        <v>65518</v>
      </c>
      <c r="K20" s="85">
        <f t="shared" si="2"/>
        <v>8.7</v>
      </c>
      <c r="L20" s="86"/>
      <c r="M20" s="84">
        <f t="shared" si="3"/>
        <v>494188</v>
      </c>
      <c r="N20" s="84">
        <f t="shared" si="4"/>
        <v>496012</v>
      </c>
      <c r="O20" s="85">
        <f t="shared" si="5"/>
        <v>-0.4</v>
      </c>
      <c r="P20" s="86"/>
      <c r="Q20" s="87">
        <f>[15]!G5B9</f>
        <v>0</v>
      </c>
      <c r="R20" s="35"/>
      <c r="S20" s="37">
        <f>'[16]GTA'!F$34</f>
        <v>60262</v>
      </c>
      <c r="T20" s="38">
        <f>'[16]GTA'!F$33</f>
        <v>435750</v>
      </c>
      <c r="U20" s="29">
        <f>'[16]GTA'!F$34</f>
        <v>60262</v>
      </c>
      <c r="V20" s="29">
        <f t="shared" si="6"/>
        <v>496012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7.5" customHeight="1">
      <c r="A21" s="65" t="s">
        <v>22</v>
      </c>
      <c r="B21" s="75">
        <f>[17]!G1A9</f>
        <v>142218</v>
      </c>
      <c r="C21" s="75">
        <f>[17]!G2T</f>
        <v>28194</v>
      </c>
      <c r="D21" s="75">
        <f t="shared" si="7"/>
        <v>114024</v>
      </c>
      <c r="E21" s="75">
        <f>[17]!G4X</f>
        <v>0</v>
      </c>
      <c r="F21" s="75">
        <f t="shared" si="0"/>
        <v>114024</v>
      </c>
      <c r="G21" s="75">
        <f>[17]!G5A1</f>
        <v>92125</v>
      </c>
      <c r="H21" s="76">
        <f t="shared" si="1"/>
        <v>10.3</v>
      </c>
      <c r="I21" s="77"/>
      <c r="J21" s="75">
        <f>[17]!G5A2</f>
        <v>21899</v>
      </c>
      <c r="K21" s="76">
        <f t="shared" si="2"/>
        <v>-18.8</v>
      </c>
      <c r="L21" s="77"/>
      <c r="M21" s="75">
        <f t="shared" si="3"/>
        <v>114024</v>
      </c>
      <c r="N21" s="75">
        <f t="shared" si="4"/>
        <v>110498</v>
      </c>
      <c r="O21" s="76">
        <f t="shared" si="5"/>
        <v>3.2</v>
      </c>
      <c r="P21" s="77"/>
      <c r="Q21" s="78">
        <f>[17]!G5B9</f>
        <v>0</v>
      </c>
      <c r="R21" s="25"/>
      <c r="S21" s="26">
        <f>'[18]GTA'!F$34</f>
        <v>26969</v>
      </c>
      <c r="T21" s="27">
        <f>'[18]GTA'!F$33</f>
        <v>83529</v>
      </c>
      <c r="U21" s="27">
        <f>'[18]GTA'!F$34</f>
        <v>26969</v>
      </c>
      <c r="V21" s="28">
        <f t="shared" si="6"/>
        <v>110498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7.5" customHeight="1">
      <c r="A22" s="65" t="s">
        <v>23</v>
      </c>
      <c r="B22" s="75">
        <f>[19]!G1A9</f>
        <v>9663900</v>
      </c>
      <c r="C22" s="75">
        <f>[19]!G2T</f>
        <v>13190</v>
      </c>
      <c r="D22" s="75">
        <f t="shared" si="7"/>
        <v>9650710</v>
      </c>
      <c r="E22" s="75">
        <f>[19]!G4X</f>
        <v>0</v>
      </c>
      <c r="F22" s="75">
        <f t="shared" si="0"/>
        <v>9650710</v>
      </c>
      <c r="G22" s="75">
        <f>[19]!G5A1</f>
        <v>8090763</v>
      </c>
      <c r="H22" s="76">
        <f t="shared" si="1"/>
        <v>1.2</v>
      </c>
      <c r="I22" s="77"/>
      <c r="J22" s="75">
        <f>[19]!G5A2</f>
        <v>1334312</v>
      </c>
      <c r="K22" s="76">
        <f t="shared" si="2"/>
        <v>-10.8</v>
      </c>
      <c r="L22" s="77"/>
      <c r="M22" s="75">
        <f t="shared" si="3"/>
        <v>9425075</v>
      </c>
      <c r="N22" s="75">
        <f t="shared" si="4"/>
        <v>9494227</v>
      </c>
      <c r="O22" s="76">
        <f t="shared" si="5"/>
        <v>-0.7</v>
      </c>
      <c r="P22" s="77"/>
      <c r="Q22" s="78">
        <f>[19]!G5B9</f>
        <v>225635</v>
      </c>
      <c r="R22" s="25"/>
      <c r="S22" s="26">
        <f>'[20]GTA'!F$34</f>
        <v>1495715</v>
      </c>
      <c r="T22" s="27">
        <f>'[20]GTA'!F$33</f>
        <v>7998512</v>
      </c>
      <c r="U22" s="27">
        <f>'[20]GTA'!F$34</f>
        <v>1495715</v>
      </c>
      <c r="V22" s="28">
        <f t="shared" si="6"/>
        <v>9494227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7.5" customHeight="1">
      <c r="A23" s="65" t="s">
        <v>24</v>
      </c>
      <c r="B23" s="75">
        <f>[21]!G1A9</f>
        <v>6087206</v>
      </c>
      <c r="C23" s="75">
        <f>[21]!G2T</f>
        <v>0</v>
      </c>
      <c r="D23" s="75">
        <f t="shared" si="7"/>
        <v>6087206</v>
      </c>
      <c r="E23" s="75">
        <f>[21]!G4X</f>
        <v>0</v>
      </c>
      <c r="F23" s="75">
        <f t="shared" si="0"/>
        <v>6087206</v>
      </c>
      <c r="G23" s="75">
        <f>[21]!G5A1</f>
        <v>4880045</v>
      </c>
      <c r="H23" s="76">
        <f t="shared" si="1"/>
        <v>2.5</v>
      </c>
      <c r="I23" s="77"/>
      <c r="J23" s="75">
        <f>[21]!G5A2</f>
        <v>1201345</v>
      </c>
      <c r="K23" s="76">
        <f t="shared" si="2"/>
        <v>-10.1</v>
      </c>
      <c r="L23" s="77"/>
      <c r="M23" s="75">
        <f t="shared" si="3"/>
        <v>6081390</v>
      </c>
      <c r="N23" s="75">
        <f t="shared" si="4"/>
        <v>6098304</v>
      </c>
      <c r="O23" s="76">
        <f t="shared" si="5"/>
        <v>-0.3</v>
      </c>
      <c r="P23" s="77"/>
      <c r="Q23" s="78">
        <f>[21]!G5B9</f>
        <v>5816</v>
      </c>
      <c r="R23" s="25"/>
      <c r="S23" s="26">
        <f>'[22]GTA'!F$34</f>
        <v>1336493</v>
      </c>
      <c r="T23" s="27">
        <f>'[22]GTA'!F$33</f>
        <v>4761811</v>
      </c>
      <c r="U23" s="27">
        <f>'[22]GTA'!F$34</f>
        <v>1336493</v>
      </c>
      <c r="V23" s="28">
        <f t="shared" si="6"/>
        <v>6098304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7.5" customHeight="1">
      <c r="A24" s="73" t="s">
        <v>25</v>
      </c>
      <c r="B24" s="75">
        <f>[23]!G1A9</f>
        <v>501269</v>
      </c>
      <c r="C24" s="75">
        <f>[23]!G2T</f>
        <v>5044</v>
      </c>
      <c r="D24" s="75">
        <f t="shared" si="7"/>
        <v>496225</v>
      </c>
      <c r="E24" s="75">
        <f>[23]!G4X</f>
        <v>0</v>
      </c>
      <c r="F24" s="75">
        <f t="shared" si="0"/>
        <v>496225</v>
      </c>
      <c r="G24" s="75">
        <f>[23]!G5A1</f>
        <v>446424</v>
      </c>
      <c r="H24" s="76">
        <f t="shared" si="1"/>
        <v>1.4</v>
      </c>
      <c r="I24" s="79"/>
      <c r="J24" s="75">
        <f>[23]!G5A2</f>
        <v>49458</v>
      </c>
      <c r="K24" s="76">
        <f t="shared" si="2"/>
        <v>-16.2</v>
      </c>
      <c r="L24" s="79"/>
      <c r="M24" s="75">
        <f t="shared" si="3"/>
        <v>495882</v>
      </c>
      <c r="N24" s="75">
        <f t="shared" si="4"/>
        <v>499218</v>
      </c>
      <c r="O24" s="76">
        <f t="shared" si="5"/>
        <v>-0.7</v>
      </c>
      <c r="P24" s="79"/>
      <c r="Q24" s="78">
        <f>[23]!G5B9</f>
        <v>343</v>
      </c>
      <c r="R24" s="25"/>
      <c r="S24" s="26">
        <f>'[24]GTA'!F$34</f>
        <v>59017</v>
      </c>
      <c r="T24" s="27">
        <f>'[24]GTA'!F$33</f>
        <v>440201</v>
      </c>
      <c r="U24" s="27">
        <f>'[24]GTA'!F$34</f>
        <v>59017</v>
      </c>
      <c r="V24" s="28">
        <f t="shared" si="6"/>
        <v>499218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7.5" customHeight="1">
      <c r="A25" s="65" t="s">
        <v>26</v>
      </c>
      <c r="B25" s="80">
        <f>[25]!G1A9</f>
        <v>891256</v>
      </c>
      <c r="C25" s="80">
        <f>[25]!G2T</f>
        <v>13013</v>
      </c>
      <c r="D25" s="80">
        <f t="shared" si="7"/>
        <v>878243</v>
      </c>
      <c r="E25" s="80">
        <f>[25]!G4X</f>
        <v>4433</v>
      </c>
      <c r="F25" s="80">
        <f t="shared" si="0"/>
        <v>873810</v>
      </c>
      <c r="G25" s="80">
        <f>[25]!G5A1</f>
        <v>646206</v>
      </c>
      <c r="H25" s="81">
        <f t="shared" si="1"/>
        <v>4</v>
      </c>
      <c r="I25" s="82"/>
      <c r="J25" s="80">
        <f>[25]!G5A2</f>
        <v>227604</v>
      </c>
      <c r="K25" s="81">
        <f t="shared" si="2"/>
        <v>-7.7</v>
      </c>
      <c r="L25" s="82"/>
      <c r="M25" s="80">
        <f t="shared" si="3"/>
        <v>873810</v>
      </c>
      <c r="N25" s="80">
        <f t="shared" si="4"/>
        <v>868041</v>
      </c>
      <c r="O25" s="81">
        <f t="shared" si="5"/>
        <v>0.7</v>
      </c>
      <c r="P25" s="82"/>
      <c r="Q25" s="83">
        <f>[25]!G5B9</f>
        <v>0</v>
      </c>
      <c r="R25" s="30"/>
      <c r="S25" s="31">
        <f>'[26]GTA'!F$34</f>
        <v>246705</v>
      </c>
      <c r="T25" s="32">
        <f>'[26]GTA'!F$33</f>
        <v>621336</v>
      </c>
      <c r="U25" s="32">
        <f>'[26]GTA'!F$34</f>
        <v>246705</v>
      </c>
      <c r="V25" s="33">
        <f t="shared" si="6"/>
        <v>868041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7.5" customHeight="1">
      <c r="A26" s="65" t="s">
        <v>27</v>
      </c>
      <c r="B26" s="75">
        <f>[27]!G1A9</f>
        <v>6299582</v>
      </c>
      <c r="C26" s="75">
        <f>[27]!G2T</f>
        <v>32315</v>
      </c>
      <c r="D26" s="75">
        <f t="shared" si="7"/>
        <v>6267267</v>
      </c>
      <c r="E26" s="75">
        <f>[27]!G4X</f>
        <v>48354</v>
      </c>
      <c r="F26" s="75">
        <f t="shared" si="0"/>
        <v>6218913</v>
      </c>
      <c r="G26" s="75">
        <f>[27]!G5A1</f>
        <v>4819075</v>
      </c>
      <c r="H26" s="76">
        <f t="shared" si="1"/>
        <v>-1.3</v>
      </c>
      <c r="I26" s="79"/>
      <c r="J26" s="75">
        <f>[27]!G5A2</f>
        <v>1399838</v>
      </c>
      <c r="K26" s="76">
        <f t="shared" si="2"/>
        <v>-2.7</v>
      </c>
      <c r="L26" s="79"/>
      <c r="M26" s="75">
        <f t="shared" si="3"/>
        <v>6218913</v>
      </c>
      <c r="N26" s="75">
        <f t="shared" si="4"/>
        <v>6321433</v>
      </c>
      <c r="O26" s="76">
        <f t="shared" si="5"/>
        <v>-1.6</v>
      </c>
      <c r="P26" s="79"/>
      <c r="Q26" s="78">
        <f>[27]!G5B9</f>
        <v>0</v>
      </c>
      <c r="R26" s="25"/>
      <c r="S26" s="34">
        <f>'[28]GTA'!F$34</f>
        <v>1438584</v>
      </c>
      <c r="T26" s="27">
        <f>'[28]GTA'!F$33</f>
        <v>4882849</v>
      </c>
      <c r="U26" s="27">
        <f>'[28]GTA'!F$34</f>
        <v>1438584</v>
      </c>
      <c r="V26" s="28">
        <f t="shared" si="6"/>
        <v>6321433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7.5" customHeight="1">
      <c r="A27" s="65" t="s">
        <v>28</v>
      </c>
      <c r="B27" s="75">
        <f>[29]!G1A9</f>
        <v>4203964</v>
      </c>
      <c r="C27" s="75">
        <f>[29]!G2T</f>
        <v>44043</v>
      </c>
      <c r="D27" s="75">
        <f t="shared" si="7"/>
        <v>4159921</v>
      </c>
      <c r="E27" s="75">
        <f>[29]!G4X</f>
        <v>24519</v>
      </c>
      <c r="F27" s="75">
        <f t="shared" si="0"/>
        <v>4135402</v>
      </c>
      <c r="G27" s="75">
        <f>[29]!G5A1</f>
        <v>3016565</v>
      </c>
      <c r="H27" s="76">
        <f t="shared" si="1"/>
        <v>-0.9</v>
      </c>
      <c r="I27" s="79"/>
      <c r="J27" s="75">
        <f>[29]!G5A2</f>
        <v>1118837</v>
      </c>
      <c r="K27" s="76">
        <f t="shared" si="2"/>
        <v>-14.8</v>
      </c>
      <c r="L27" s="79"/>
      <c r="M27" s="75">
        <f t="shared" si="3"/>
        <v>4135402</v>
      </c>
      <c r="N27" s="75">
        <f t="shared" si="4"/>
        <v>4358298</v>
      </c>
      <c r="O27" s="76">
        <f t="shared" si="5"/>
        <v>-5.1</v>
      </c>
      <c r="P27" s="79"/>
      <c r="Q27" s="78">
        <f>[29]!G5B9</f>
        <v>0</v>
      </c>
      <c r="R27" s="25"/>
      <c r="S27" s="34">
        <f>'[30]GTA'!F$34</f>
        <v>1313018</v>
      </c>
      <c r="T27" s="27">
        <f>'[30]GTA'!F$33</f>
        <v>3045280</v>
      </c>
      <c r="U27" s="27">
        <f>'[30]GTA'!F$34</f>
        <v>1313018</v>
      </c>
      <c r="V27" s="28">
        <f t="shared" si="6"/>
        <v>4358298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7.5" customHeight="1">
      <c r="A28" s="73" t="s">
        <v>29</v>
      </c>
      <c r="B28" s="84">
        <f>[31]!G1A9</f>
        <v>2259074</v>
      </c>
      <c r="C28" s="84">
        <f>[31]!G2T</f>
        <v>0</v>
      </c>
      <c r="D28" s="84">
        <f t="shared" si="7"/>
        <v>2259074</v>
      </c>
      <c r="E28" s="84">
        <f>[31]!G4X</f>
        <v>108534</v>
      </c>
      <c r="F28" s="84">
        <f t="shared" si="0"/>
        <v>2150540</v>
      </c>
      <c r="G28" s="84">
        <f>[31]!G5A1</f>
        <v>1539185</v>
      </c>
      <c r="H28" s="85">
        <f t="shared" si="1"/>
        <v>0.6</v>
      </c>
      <c r="I28" s="86"/>
      <c r="J28" s="84">
        <f>[31]!G5A2</f>
        <v>609332</v>
      </c>
      <c r="K28" s="85">
        <f t="shared" si="2"/>
        <v>-5.9</v>
      </c>
      <c r="L28" s="86"/>
      <c r="M28" s="84">
        <f t="shared" si="3"/>
        <v>2148517</v>
      </c>
      <c r="N28" s="84">
        <f t="shared" si="4"/>
        <v>2176733</v>
      </c>
      <c r="O28" s="85">
        <f t="shared" si="5"/>
        <v>-1.3</v>
      </c>
      <c r="P28" s="86"/>
      <c r="Q28" s="87">
        <f>[31]!G5B9</f>
        <v>2023</v>
      </c>
      <c r="R28" s="35"/>
      <c r="S28" s="37">
        <f>'[32]GTA'!F$34</f>
        <v>647244</v>
      </c>
      <c r="T28" s="38">
        <f>'[32]GTA'!F$33</f>
        <v>1529489</v>
      </c>
      <c r="U28" s="38">
        <f>'[32]GTA'!F$34</f>
        <v>647244</v>
      </c>
      <c r="V28" s="29">
        <f t="shared" si="6"/>
        <v>2176733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7.5" customHeight="1">
      <c r="A29" s="65" t="s">
        <v>30</v>
      </c>
      <c r="B29" s="75">
        <f>[33]!G1A9</f>
        <v>1770551</v>
      </c>
      <c r="C29" s="75">
        <f>[33]!G2T</f>
        <v>42840</v>
      </c>
      <c r="D29" s="75">
        <f t="shared" si="7"/>
        <v>1727711</v>
      </c>
      <c r="E29" s="75">
        <f>[33]!G4X</f>
        <v>3992</v>
      </c>
      <c r="F29" s="75">
        <f t="shared" si="0"/>
        <v>1723719</v>
      </c>
      <c r="G29" s="75">
        <f>[33]!G5A1</f>
        <v>1281879</v>
      </c>
      <c r="H29" s="76">
        <f t="shared" si="1"/>
        <v>1.5</v>
      </c>
      <c r="I29" s="77"/>
      <c r="J29" s="75">
        <f>[33]!G5A2</f>
        <v>441840</v>
      </c>
      <c r="K29" s="76">
        <f t="shared" si="2"/>
        <v>-8.3</v>
      </c>
      <c r="L29" s="77"/>
      <c r="M29" s="75">
        <f t="shared" si="3"/>
        <v>1723719</v>
      </c>
      <c r="N29" s="75">
        <f t="shared" si="4"/>
        <v>1745498</v>
      </c>
      <c r="O29" s="76">
        <f t="shared" si="5"/>
        <v>-1.2</v>
      </c>
      <c r="P29" s="77"/>
      <c r="Q29" s="78">
        <f>[33]!G5B9</f>
        <v>0</v>
      </c>
      <c r="R29" s="25"/>
      <c r="S29" s="26">
        <f>'[34]GTA'!F$34</f>
        <v>481991</v>
      </c>
      <c r="T29" s="27">
        <f>'[34]GTA'!F$33</f>
        <v>1263507</v>
      </c>
      <c r="U29" s="27">
        <f>'[34]GTA'!F$34</f>
        <v>481991</v>
      </c>
      <c r="V29" s="28">
        <f t="shared" si="6"/>
        <v>1745498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7.5" customHeight="1">
      <c r="A30" s="65" t="s">
        <v>31</v>
      </c>
      <c r="B30" s="75">
        <f>[35]!G1A9</f>
        <v>2959330</v>
      </c>
      <c r="C30" s="75">
        <f>[35]!G2T</f>
        <v>720</v>
      </c>
      <c r="D30" s="75">
        <f t="shared" si="7"/>
        <v>2958610</v>
      </c>
      <c r="E30" s="75">
        <f>[35]!G4X</f>
        <v>4459</v>
      </c>
      <c r="F30" s="75">
        <f t="shared" si="0"/>
        <v>2954151</v>
      </c>
      <c r="G30" s="75">
        <f>[35]!G5A1</f>
        <v>2210434</v>
      </c>
      <c r="H30" s="76">
        <f t="shared" si="1"/>
        <v>3.4</v>
      </c>
      <c r="I30" s="77"/>
      <c r="J30" s="75">
        <f>[35]!G5A2</f>
        <v>743717</v>
      </c>
      <c r="K30" s="76">
        <f t="shared" si="2"/>
        <v>-9.5</v>
      </c>
      <c r="L30" s="77"/>
      <c r="M30" s="75">
        <f t="shared" si="3"/>
        <v>2954151</v>
      </c>
      <c r="N30" s="75">
        <f t="shared" si="4"/>
        <v>2960706</v>
      </c>
      <c r="O30" s="76">
        <f t="shared" si="5"/>
        <v>-0.2</v>
      </c>
      <c r="P30" s="77"/>
      <c r="Q30" s="78">
        <f>[35]!G5B9</f>
        <v>0</v>
      </c>
      <c r="R30" s="25"/>
      <c r="S30" s="26">
        <f>'[36]GTA'!F$34</f>
        <v>822183</v>
      </c>
      <c r="T30" s="27">
        <f>'[36]GTA'!F$33</f>
        <v>2138523</v>
      </c>
      <c r="U30" s="27">
        <f>'[36]GTA'!F$34</f>
        <v>822183</v>
      </c>
      <c r="V30" s="28">
        <f t="shared" si="6"/>
        <v>2960706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7.5" customHeight="1">
      <c r="A31" s="65" t="s">
        <v>32</v>
      </c>
      <c r="B31" s="75">
        <f>[37]!G1A9</f>
        <v>2991909</v>
      </c>
      <c r="C31" s="75">
        <f>[37]!G2T</f>
        <v>36524</v>
      </c>
      <c r="D31" s="75">
        <f t="shared" si="7"/>
        <v>2955385</v>
      </c>
      <c r="E31" s="75">
        <f>[37]!G4X</f>
        <v>825</v>
      </c>
      <c r="F31" s="75">
        <f t="shared" si="0"/>
        <v>2954560</v>
      </c>
      <c r="G31" s="75">
        <f>[37]!G5A1</f>
        <v>2253296</v>
      </c>
      <c r="H31" s="76">
        <f t="shared" si="1"/>
        <v>6.1</v>
      </c>
      <c r="I31" s="77"/>
      <c r="J31" s="75">
        <f>[37]!G5A2</f>
        <v>700164</v>
      </c>
      <c r="K31" s="76">
        <f t="shared" si="2"/>
        <v>0.3</v>
      </c>
      <c r="L31" s="77"/>
      <c r="M31" s="75">
        <f t="shared" si="3"/>
        <v>2953460</v>
      </c>
      <c r="N31" s="75">
        <f t="shared" si="4"/>
        <v>2822335</v>
      </c>
      <c r="O31" s="76">
        <f t="shared" si="5"/>
        <v>4.6</v>
      </c>
      <c r="P31" s="77"/>
      <c r="Q31" s="78">
        <f>[37]!G5B9</f>
        <v>1100</v>
      </c>
      <c r="R31" s="25"/>
      <c r="S31" s="26">
        <f>'[38]GTA'!F$34</f>
        <v>697925</v>
      </c>
      <c r="T31" s="27">
        <f>'[38]GTA'!F$33</f>
        <v>2124410</v>
      </c>
      <c r="U31" s="27">
        <f>'[38]GTA'!F$34</f>
        <v>697925</v>
      </c>
      <c r="V31" s="28">
        <f t="shared" si="6"/>
        <v>2822335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7.5" customHeight="1">
      <c r="A32" s="73" t="s">
        <v>33</v>
      </c>
      <c r="B32" s="75">
        <f>[39]!G1A9</f>
        <v>864799</v>
      </c>
      <c r="C32" s="75">
        <f>[39]!G2T</f>
        <v>26924</v>
      </c>
      <c r="D32" s="75">
        <f t="shared" si="7"/>
        <v>837875</v>
      </c>
      <c r="E32" s="75">
        <f>[39]!G4X</f>
        <v>930</v>
      </c>
      <c r="F32" s="75">
        <f t="shared" si="0"/>
        <v>836945</v>
      </c>
      <c r="G32" s="75">
        <f>[39]!G5A1</f>
        <v>650292</v>
      </c>
      <c r="H32" s="76">
        <f t="shared" si="1"/>
        <v>0.2</v>
      </c>
      <c r="I32" s="79"/>
      <c r="J32" s="75">
        <f>[39]!G5A2</f>
        <v>186653</v>
      </c>
      <c r="K32" s="76">
        <f t="shared" si="2"/>
        <v>3.5</v>
      </c>
      <c r="L32" s="79"/>
      <c r="M32" s="75">
        <f t="shared" si="3"/>
        <v>836945</v>
      </c>
      <c r="N32" s="75">
        <f t="shared" si="4"/>
        <v>829584</v>
      </c>
      <c r="O32" s="76">
        <f t="shared" si="5"/>
        <v>0.9</v>
      </c>
      <c r="P32" s="79"/>
      <c r="Q32" s="78">
        <f>[39]!G5B9</f>
        <v>0</v>
      </c>
      <c r="R32" s="25"/>
      <c r="S32" s="26">
        <f>'[40]GTA'!F$34</f>
        <v>180375</v>
      </c>
      <c r="T32" s="27">
        <f>'[40]GTA'!F$33</f>
        <v>649209</v>
      </c>
      <c r="U32" s="27">
        <f>'[40]GTA'!F$34</f>
        <v>180375</v>
      </c>
      <c r="V32" s="28">
        <f t="shared" si="6"/>
        <v>829584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7.5" customHeight="1">
      <c r="A33" s="65" t="s">
        <v>34</v>
      </c>
      <c r="B33" s="80">
        <f>[41]!G1A9</f>
        <v>3559271</v>
      </c>
      <c r="C33" s="80">
        <f>[41]!G2T</f>
        <v>159193</v>
      </c>
      <c r="D33" s="80">
        <f t="shared" si="7"/>
        <v>3400078</v>
      </c>
      <c r="E33" s="80">
        <f>[41]!G4X</f>
        <v>21493</v>
      </c>
      <c r="F33" s="80">
        <f t="shared" si="0"/>
        <v>3378585</v>
      </c>
      <c r="G33" s="80">
        <f>[41]!G5A1</f>
        <v>2857047</v>
      </c>
      <c r="H33" s="81">
        <f t="shared" si="1"/>
        <v>6.5</v>
      </c>
      <c r="I33" s="82"/>
      <c r="J33" s="80">
        <f>[41]!G5A2</f>
        <v>519838</v>
      </c>
      <c r="K33" s="81">
        <f t="shared" si="2"/>
        <v>-1</v>
      </c>
      <c r="L33" s="82"/>
      <c r="M33" s="80">
        <f t="shared" si="3"/>
        <v>3376885</v>
      </c>
      <c r="N33" s="80">
        <f t="shared" si="4"/>
        <v>3206688</v>
      </c>
      <c r="O33" s="81">
        <f t="shared" si="5"/>
        <v>5.3</v>
      </c>
      <c r="P33" s="82"/>
      <c r="Q33" s="83">
        <f>[41]!G5B9</f>
        <v>1700</v>
      </c>
      <c r="R33" s="30"/>
      <c r="S33" s="31">
        <f>'[42]GTA'!F$34</f>
        <v>525138</v>
      </c>
      <c r="T33" s="32">
        <f>'[42]GTA'!F$33</f>
        <v>2681550</v>
      </c>
      <c r="U33" s="32">
        <f>'[42]GTA'!F$34</f>
        <v>525138</v>
      </c>
      <c r="V33" s="33">
        <f t="shared" si="6"/>
        <v>3206688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7.5" customHeight="1">
      <c r="A34" s="65" t="s">
        <v>35</v>
      </c>
      <c r="B34" s="75">
        <f>[43]!G1A9</f>
        <v>3168825</v>
      </c>
      <c r="C34" s="75">
        <f>[43]!G2T</f>
        <v>3453</v>
      </c>
      <c r="D34" s="75">
        <f t="shared" si="7"/>
        <v>3165372</v>
      </c>
      <c r="E34" s="75">
        <f>[43]!G4X</f>
        <v>17148</v>
      </c>
      <c r="F34" s="75">
        <f t="shared" si="0"/>
        <v>3148224</v>
      </c>
      <c r="G34" s="75">
        <f>[43]!G5A1</f>
        <v>2745142</v>
      </c>
      <c r="H34" s="76">
        <f t="shared" si="1"/>
        <v>-2.1</v>
      </c>
      <c r="I34" s="79"/>
      <c r="J34" s="75">
        <f>[43]!G5A2</f>
        <v>403082</v>
      </c>
      <c r="K34" s="76">
        <f t="shared" si="2"/>
        <v>9.2</v>
      </c>
      <c r="L34" s="79"/>
      <c r="M34" s="75">
        <f t="shared" si="3"/>
        <v>3148224</v>
      </c>
      <c r="N34" s="75">
        <f t="shared" si="4"/>
        <v>3173733</v>
      </c>
      <c r="O34" s="76">
        <f t="shared" si="5"/>
        <v>-0.8</v>
      </c>
      <c r="P34" s="79"/>
      <c r="Q34" s="78">
        <f>[43]!G5B9</f>
        <v>0</v>
      </c>
      <c r="R34" s="25"/>
      <c r="S34" s="34">
        <f>'[44]GTA'!F$34</f>
        <v>369198</v>
      </c>
      <c r="T34" s="27">
        <f>'[44]GTA'!F$33</f>
        <v>2804535</v>
      </c>
      <c r="U34" s="27">
        <f>'[44]GTA'!F$34</f>
        <v>369198</v>
      </c>
      <c r="V34" s="28">
        <f t="shared" si="6"/>
        <v>3173733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7.5" customHeight="1">
      <c r="A35" s="65" t="s">
        <v>36</v>
      </c>
      <c r="B35" s="75">
        <f>[45]!G1A9</f>
        <v>5345394</v>
      </c>
      <c r="C35" s="75">
        <f>[45]!G2T</f>
        <v>5719</v>
      </c>
      <c r="D35" s="75">
        <f t="shared" si="7"/>
        <v>5339675</v>
      </c>
      <c r="E35" s="75">
        <f>[45]!G4X</f>
        <v>53789</v>
      </c>
      <c r="F35" s="75">
        <f t="shared" si="0"/>
        <v>5285886</v>
      </c>
      <c r="G35" s="75">
        <f>[45]!G5A1</f>
        <v>4499392</v>
      </c>
      <c r="H35" s="76">
        <f t="shared" si="1"/>
        <v>-0.3</v>
      </c>
      <c r="I35" s="79"/>
      <c r="J35" s="75">
        <f>'[45]GTA'!F34</f>
        <v>783592</v>
      </c>
      <c r="K35" s="76">
        <f t="shared" si="2"/>
        <v>-6.9</v>
      </c>
      <c r="L35" s="79"/>
      <c r="M35" s="75">
        <f t="shared" si="3"/>
        <v>5282984</v>
      </c>
      <c r="N35" s="75">
        <f t="shared" si="4"/>
        <v>5354064</v>
      </c>
      <c r="O35" s="76">
        <f t="shared" si="5"/>
        <v>-1.3</v>
      </c>
      <c r="P35" s="79"/>
      <c r="Q35" s="78">
        <f>[45]!G5B9</f>
        <v>2902</v>
      </c>
      <c r="R35" s="25"/>
      <c r="S35" s="34">
        <f>'[46]GTA'!F$34</f>
        <v>841734</v>
      </c>
      <c r="T35" s="27">
        <f>'[46]GTA'!F$33</f>
        <v>4512330</v>
      </c>
      <c r="U35" s="27">
        <f>'[46]GTA'!F$34</f>
        <v>841734</v>
      </c>
      <c r="V35" s="28">
        <f t="shared" si="6"/>
        <v>5354064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7.5" customHeight="1">
      <c r="A36" s="73" t="s">
        <v>37</v>
      </c>
      <c r="B36" s="84">
        <f>[47]!G1A9</f>
        <v>3151182</v>
      </c>
      <c r="C36" s="84">
        <f>[47]!G2T</f>
        <v>87183</v>
      </c>
      <c r="D36" s="84">
        <f t="shared" si="7"/>
        <v>3063999</v>
      </c>
      <c r="E36" s="84">
        <f>[47]!G4X</f>
        <v>24811</v>
      </c>
      <c r="F36" s="84">
        <f t="shared" si="0"/>
        <v>3039188</v>
      </c>
      <c r="G36" s="84">
        <f>[47]!G5A1</f>
        <v>2437534</v>
      </c>
      <c r="H36" s="85">
        <f t="shared" si="1"/>
        <v>-2.4</v>
      </c>
      <c r="I36" s="86"/>
      <c r="J36" s="84">
        <f>[47]!G5A2</f>
        <v>598711</v>
      </c>
      <c r="K36" s="85">
        <f t="shared" si="2"/>
        <v>-10.4</v>
      </c>
      <c r="L36" s="86"/>
      <c r="M36" s="84">
        <f t="shared" si="3"/>
        <v>3036245</v>
      </c>
      <c r="N36" s="84">
        <f t="shared" si="4"/>
        <v>3165376</v>
      </c>
      <c r="O36" s="85">
        <f t="shared" si="5"/>
        <v>-4.1</v>
      </c>
      <c r="P36" s="86"/>
      <c r="Q36" s="87">
        <f>[47]!G5B9</f>
        <v>2943</v>
      </c>
      <c r="R36" s="35"/>
      <c r="S36" s="37">
        <f>'[48]GTA'!F$34</f>
        <v>668423</v>
      </c>
      <c r="T36" s="38">
        <f>'[48]GTA'!F$33</f>
        <v>2496953</v>
      </c>
      <c r="U36" s="38">
        <f>'[48]GTA'!F$34</f>
        <v>668423</v>
      </c>
      <c r="V36" s="29">
        <f t="shared" si="6"/>
        <v>3165376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7.5" customHeight="1">
      <c r="A37" s="65" t="s">
        <v>38</v>
      </c>
      <c r="B37" s="75">
        <f>[49]!G1A9</f>
        <v>2130966</v>
      </c>
      <c r="C37" s="75">
        <f>[49]!G2T</f>
        <v>32079</v>
      </c>
      <c r="D37" s="75">
        <f t="shared" si="7"/>
        <v>2098887</v>
      </c>
      <c r="E37" s="75" t="s">
        <v>79</v>
      </c>
      <c r="F37" s="75">
        <f t="shared" si="0"/>
        <v>2098887</v>
      </c>
      <c r="G37" s="75">
        <f>[49]!G5A1</f>
        <v>1544276</v>
      </c>
      <c r="H37" s="76">
        <f t="shared" si="1"/>
        <v>-4.2</v>
      </c>
      <c r="I37" s="77"/>
      <c r="J37" s="75">
        <f>[49]!G5A2</f>
        <v>554309</v>
      </c>
      <c r="K37" s="76">
        <f t="shared" si="2"/>
        <v>-11.4</v>
      </c>
      <c r="L37" s="77"/>
      <c r="M37" s="75">
        <f t="shared" si="3"/>
        <v>2098585</v>
      </c>
      <c r="N37" s="75">
        <f t="shared" si="4"/>
        <v>2237455</v>
      </c>
      <c r="O37" s="76">
        <f t="shared" si="5"/>
        <v>-6.2</v>
      </c>
      <c r="P37" s="77"/>
      <c r="Q37" s="78">
        <f>[49]!G5B9</f>
        <v>302</v>
      </c>
      <c r="R37" s="25"/>
      <c r="S37" s="26">
        <f>'[50]GTA'!F$34</f>
        <v>625861</v>
      </c>
      <c r="T37" s="27">
        <f>'[50]GTA'!F$33</f>
        <v>1611594</v>
      </c>
      <c r="U37" s="27">
        <f>'[50]GTA'!F$34</f>
        <v>625861</v>
      </c>
      <c r="V37" s="28">
        <f t="shared" si="6"/>
        <v>2237455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7.5" customHeight="1">
      <c r="A38" s="65" t="s">
        <v>39</v>
      </c>
      <c r="B38" s="75">
        <f>[51]!G1A9</f>
        <v>4154886</v>
      </c>
      <c r="C38" s="75">
        <f>[51]!G2T</f>
        <v>34008</v>
      </c>
      <c r="D38" s="75">
        <f t="shared" si="7"/>
        <v>4120878</v>
      </c>
      <c r="E38" s="75">
        <f>[51]!G4X</f>
        <v>27778</v>
      </c>
      <c r="F38" s="75">
        <f t="shared" si="0"/>
        <v>4093100</v>
      </c>
      <c r="G38" s="75">
        <f>[51]!G5A1</f>
        <v>3139815</v>
      </c>
      <c r="H38" s="76">
        <f t="shared" si="1"/>
        <v>-0.4</v>
      </c>
      <c r="I38" s="77"/>
      <c r="J38" s="75">
        <f>[51]!G5A2</f>
        <v>953285</v>
      </c>
      <c r="K38" s="76">
        <f t="shared" si="2"/>
        <v>-4.4</v>
      </c>
      <c r="L38" s="77"/>
      <c r="M38" s="75">
        <f t="shared" si="3"/>
        <v>4093100</v>
      </c>
      <c r="N38" s="75">
        <f t="shared" si="4"/>
        <v>4148014</v>
      </c>
      <c r="O38" s="76">
        <f t="shared" si="5"/>
        <v>-1.3</v>
      </c>
      <c r="P38" s="77"/>
      <c r="Q38" s="78">
        <f>[51]!G5B9</f>
        <v>0</v>
      </c>
      <c r="R38" s="25"/>
      <c r="S38" s="26">
        <f>'[52]GTA'!F$34</f>
        <v>996651</v>
      </c>
      <c r="T38" s="27">
        <f>'[52]GTA'!F$33</f>
        <v>3151363</v>
      </c>
      <c r="U38" s="27">
        <f>'[52]GTA'!F$34</f>
        <v>996651</v>
      </c>
      <c r="V38" s="28">
        <f t="shared" si="6"/>
        <v>4148014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7.5" customHeight="1">
      <c r="A39" s="65" t="s">
        <v>40</v>
      </c>
      <c r="B39" s="75">
        <f>[53]!G1A9</f>
        <v>733626</v>
      </c>
      <c r="C39" s="75">
        <f>[53]!G2T</f>
        <v>0</v>
      </c>
      <c r="D39" s="75">
        <f t="shared" si="7"/>
        <v>733626</v>
      </c>
      <c r="E39" s="75">
        <f>[53]!G4X</f>
        <v>7412</v>
      </c>
      <c r="F39" s="75">
        <f t="shared" si="0"/>
        <v>726214</v>
      </c>
      <c r="G39" s="75">
        <f>[53]!G5A1</f>
        <v>487588</v>
      </c>
      <c r="H39" s="76">
        <f t="shared" si="1"/>
        <v>3</v>
      </c>
      <c r="I39" s="77"/>
      <c r="J39" s="75">
        <f>[53]!G5A2</f>
        <v>237130</v>
      </c>
      <c r="K39" s="76">
        <f t="shared" si="2"/>
        <v>-6.3</v>
      </c>
      <c r="L39" s="77"/>
      <c r="M39" s="75">
        <f t="shared" si="3"/>
        <v>724718</v>
      </c>
      <c r="N39" s="75">
        <f t="shared" si="4"/>
        <v>726577</v>
      </c>
      <c r="O39" s="76">
        <f t="shared" si="5"/>
        <v>-0.3</v>
      </c>
      <c r="P39" s="77"/>
      <c r="Q39" s="78">
        <f>[53]!G5B9</f>
        <v>1496</v>
      </c>
      <c r="R39" s="25"/>
      <c r="S39" s="26">
        <f>'[54]GTA'!F$34</f>
        <v>252978</v>
      </c>
      <c r="T39" s="27">
        <f>'[54]GTA'!F$33</f>
        <v>473599</v>
      </c>
      <c r="U39" s="27">
        <f>'[54]GTA'!F$34</f>
        <v>252978</v>
      </c>
      <c r="V39" s="28">
        <f t="shared" si="6"/>
        <v>726577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7.5" customHeight="1">
      <c r="A40" s="73" t="s">
        <v>41</v>
      </c>
      <c r="B40" s="75">
        <f>[55]!G1A9</f>
        <v>1219229</v>
      </c>
      <c r="C40" s="75">
        <f>[55]!G2T</f>
        <v>2190</v>
      </c>
      <c r="D40" s="75">
        <f t="shared" si="7"/>
        <v>1217039</v>
      </c>
      <c r="E40" s="75">
        <f>[55]!G4X</f>
        <v>1077</v>
      </c>
      <c r="F40" s="75">
        <f t="shared" si="0"/>
        <v>1215962</v>
      </c>
      <c r="G40" s="75">
        <f>[55]!G5A1</f>
        <v>814634</v>
      </c>
      <c r="H40" s="76">
        <f t="shared" si="1"/>
        <v>-1.3</v>
      </c>
      <c r="I40" s="79"/>
      <c r="J40" s="75">
        <f>[55]!G5A2</f>
        <v>389441</v>
      </c>
      <c r="K40" s="76">
        <f t="shared" si="2"/>
        <v>-4</v>
      </c>
      <c r="L40" s="79"/>
      <c r="M40" s="75">
        <f t="shared" si="3"/>
        <v>1204075</v>
      </c>
      <c r="N40" s="75">
        <f t="shared" si="4"/>
        <v>1231080</v>
      </c>
      <c r="O40" s="76">
        <f t="shared" si="5"/>
        <v>-2.2</v>
      </c>
      <c r="P40" s="79"/>
      <c r="Q40" s="78">
        <f>[55]!G5B9</f>
        <v>11887</v>
      </c>
      <c r="R40" s="25"/>
      <c r="S40" s="26">
        <f>'[56]GTA'!F$34</f>
        <v>405853</v>
      </c>
      <c r="T40" s="27">
        <f>'[56]GTA'!F$33</f>
        <v>825227</v>
      </c>
      <c r="U40" s="27">
        <f>'[56]GTA'!F$34</f>
        <v>405853</v>
      </c>
      <c r="V40" s="28">
        <f t="shared" si="6"/>
        <v>1231080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7.5" customHeight="1">
      <c r="A41" s="65" t="s">
        <v>42</v>
      </c>
      <c r="B41" s="80">
        <f>[57]!G1A9</f>
        <v>1419515</v>
      </c>
      <c r="C41" s="80">
        <f>[57]!G2T</f>
        <v>8821</v>
      </c>
      <c r="D41" s="80">
        <f t="shared" si="7"/>
        <v>1410694</v>
      </c>
      <c r="E41" s="80">
        <f>[57]!G4X</f>
        <v>1977</v>
      </c>
      <c r="F41" s="80">
        <f t="shared" si="0"/>
        <v>1408717</v>
      </c>
      <c r="G41" s="80">
        <f>[57]!G5A1</f>
        <v>1093850</v>
      </c>
      <c r="H41" s="81">
        <f t="shared" si="1"/>
        <v>-2.8</v>
      </c>
      <c r="I41" s="82"/>
      <c r="J41" s="80">
        <f>[57]!G5A2</f>
        <v>312855</v>
      </c>
      <c r="K41" s="81">
        <f t="shared" si="2"/>
        <v>-4.3</v>
      </c>
      <c r="L41" s="82"/>
      <c r="M41" s="80">
        <f t="shared" si="3"/>
        <v>1406705</v>
      </c>
      <c r="N41" s="80">
        <f t="shared" si="4"/>
        <v>1452872</v>
      </c>
      <c r="O41" s="81">
        <f t="shared" si="5"/>
        <v>-3.2</v>
      </c>
      <c r="P41" s="82"/>
      <c r="Q41" s="83">
        <f>[57]!G5B9</f>
        <v>2012</v>
      </c>
      <c r="R41" s="30"/>
      <c r="S41" s="31">
        <f>'[58]GTA'!F$34</f>
        <v>326952</v>
      </c>
      <c r="T41" s="32">
        <f>'[58]GTA'!F$33</f>
        <v>1125920</v>
      </c>
      <c r="U41" s="32">
        <f>'[58]GTA'!F$34</f>
        <v>326952</v>
      </c>
      <c r="V41" s="33">
        <f t="shared" si="6"/>
        <v>1452872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7.5" customHeight="1">
      <c r="A42" s="65" t="s">
        <v>43</v>
      </c>
      <c r="B42" s="75">
        <f>[59]!G1A9</f>
        <v>810815</v>
      </c>
      <c r="C42" s="75">
        <f>[59]!G2T</f>
        <v>5530</v>
      </c>
      <c r="D42" s="75">
        <f t="shared" si="7"/>
        <v>805285</v>
      </c>
      <c r="E42" s="75">
        <f>[59]!G4X</f>
        <v>3122</v>
      </c>
      <c r="F42" s="75">
        <f t="shared" si="0"/>
        <v>802163</v>
      </c>
      <c r="G42" s="75">
        <f>[59]!G5A1</f>
        <v>707791</v>
      </c>
      <c r="H42" s="76">
        <f t="shared" si="1"/>
        <v>-0.2</v>
      </c>
      <c r="I42" s="79"/>
      <c r="J42" s="75">
        <f>[59]!G5A2</f>
        <v>93697</v>
      </c>
      <c r="K42" s="76">
        <f t="shared" si="2"/>
        <v>-5.3</v>
      </c>
      <c r="L42" s="79"/>
      <c r="M42" s="75">
        <f t="shared" si="3"/>
        <v>801488</v>
      </c>
      <c r="N42" s="75">
        <f t="shared" si="4"/>
        <v>808027</v>
      </c>
      <c r="O42" s="76">
        <f t="shared" si="5"/>
        <v>-0.8</v>
      </c>
      <c r="P42" s="79"/>
      <c r="Q42" s="78">
        <f>[59]!G5B9</f>
        <v>675</v>
      </c>
      <c r="R42" s="25"/>
      <c r="S42" s="34">
        <f>'[60]GTA'!F$34</f>
        <v>98975</v>
      </c>
      <c r="T42" s="27">
        <f>'[60]GTA'!F$33</f>
        <v>709052</v>
      </c>
      <c r="U42" s="27">
        <f>'[60]GTA'!F$34</f>
        <v>98975</v>
      </c>
      <c r="V42" s="28">
        <f t="shared" si="6"/>
        <v>808027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7.5" customHeight="1">
      <c r="A43" s="65" t="s">
        <v>44</v>
      </c>
      <c r="B43" s="75">
        <f>[61]!G1A9</f>
        <v>5034892</v>
      </c>
      <c r="C43" s="75">
        <f>[61]!G2T</f>
        <v>0</v>
      </c>
      <c r="D43" s="75">
        <f t="shared" si="7"/>
        <v>5034892</v>
      </c>
      <c r="E43" s="75">
        <f>[61]!G4X</f>
        <v>2334</v>
      </c>
      <c r="F43" s="75">
        <f t="shared" si="0"/>
        <v>5032558</v>
      </c>
      <c r="G43" s="75">
        <f>[61]!G5A1</f>
        <v>4191613</v>
      </c>
      <c r="H43" s="76">
        <f t="shared" si="1"/>
        <v>-2</v>
      </c>
      <c r="I43" s="79"/>
      <c r="J43" s="75">
        <f>[61]!G5A2</f>
        <v>840945</v>
      </c>
      <c r="K43" s="76">
        <f t="shared" si="2"/>
        <v>-7</v>
      </c>
      <c r="L43" s="79"/>
      <c r="M43" s="75">
        <f t="shared" si="3"/>
        <v>5032558</v>
      </c>
      <c r="N43" s="75">
        <f t="shared" si="4"/>
        <v>5182257</v>
      </c>
      <c r="O43" s="76">
        <f t="shared" si="5"/>
        <v>-2.9</v>
      </c>
      <c r="P43" s="79"/>
      <c r="Q43" s="78">
        <f>[61]!G5B9</f>
        <v>0</v>
      </c>
      <c r="R43" s="25"/>
      <c r="S43" s="34">
        <f>'[62]GTA'!F$34</f>
        <v>904689</v>
      </c>
      <c r="T43" s="27">
        <f>'[62]GTA'!F$33</f>
        <v>4277568</v>
      </c>
      <c r="U43" s="27">
        <f>'[62]GTA'!F$34</f>
        <v>904689</v>
      </c>
      <c r="V43" s="28">
        <f t="shared" si="6"/>
        <v>5182257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7.5" customHeight="1">
      <c r="A44" s="73" t="s">
        <v>45</v>
      </c>
      <c r="B44" s="84">
        <f>[63]!G1A9</f>
        <v>1404367</v>
      </c>
      <c r="C44" s="84">
        <f>[63]!G2T</f>
        <v>73212</v>
      </c>
      <c r="D44" s="84">
        <f t="shared" si="7"/>
        <v>1331155</v>
      </c>
      <c r="E44" s="84">
        <f>[63]!G4X</f>
        <v>0</v>
      </c>
      <c r="F44" s="84">
        <f t="shared" si="0"/>
        <v>1331155</v>
      </c>
      <c r="G44" s="84">
        <f>[63]!G5A1</f>
        <v>897353</v>
      </c>
      <c r="H44" s="85">
        <f t="shared" si="1"/>
        <v>4.1</v>
      </c>
      <c r="I44" s="86"/>
      <c r="J44" s="84">
        <f>[63]!G5A2</f>
        <v>433802</v>
      </c>
      <c r="K44" s="85">
        <f t="shared" si="2"/>
        <v>-8.5</v>
      </c>
      <c r="L44" s="86"/>
      <c r="M44" s="84">
        <f t="shared" si="3"/>
        <v>1331155</v>
      </c>
      <c r="N44" s="84">
        <f t="shared" si="4"/>
        <v>1335812</v>
      </c>
      <c r="O44" s="85">
        <f t="shared" si="5"/>
        <v>-0.3</v>
      </c>
      <c r="P44" s="86"/>
      <c r="Q44" s="87">
        <f>[63]!G5B9</f>
        <v>0</v>
      </c>
      <c r="R44" s="35"/>
      <c r="S44" s="37">
        <f>'[64]GTA'!F$34</f>
        <v>474110</v>
      </c>
      <c r="T44" s="38">
        <f>'[64]GTA'!F$33</f>
        <v>861702</v>
      </c>
      <c r="U44" s="38">
        <f>'[64]GTA'!F$34</f>
        <v>474110</v>
      </c>
      <c r="V44" s="29">
        <f t="shared" si="6"/>
        <v>1335812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7.5" customHeight="1">
      <c r="A45" s="65" t="s">
        <v>46</v>
      </c>
      <c r="B45" s="75">
        <f>[65]!G1A9</f>
        <v>7002961</v>
      </c>
      <c r="C45" s="75">
        <f>[65]!G2T</f>
        <v>356179</v>
      </c>
      <c r="D45" s="75">
        <f t="shared" si="7"/>
        <v>6646782</v>
      </c>
      <c r="E45" s="75">
        <f>[65]!G4X</f>
        <v>68683</v>
      </c>
      <c r="F45" s="75">
        <f aca="true" t="shared" si="8" ref="F45:F63">D45-E45</f>
        <v>6578099</v>
      </c>
      <c r="G45" s="75">
        <f>[65]!G5A1</f>
        <v>5219702</v>
      </c>
      <c r="H45" s="76">
        <f aca="true" t="shared" si="9" ref="H45:H63">ROUND((G45-T45)/T45*100,1)</f>
        <v>0.7</v>
      </c>
      <c r="I45" s="77"/>
      <c r="J45" s="75">
        <f>[65]!G5A2</f>
        <v>1358397</v>
      </c>
      <c r="K45" s="76">
        <f aca="true" t="shared" si="10" ref="K45:K63">ROUND((J45-U45)/U45*100,1)</f>
        <v>-4.6</v>
      </c>
      <c r="L45" s="77"/>
      <c r="M45" s="75">
        <f aca="true" t="shared" si="11" ref="M45:M63">G45+J45</f>
        <v>6578099</v>
      </c>
      <c r="N45" s="75">
        <f aca="true" t="shared" si="12" ref="N45:N63">V45</f>
        <v>6606571</v>
      </c>
      <c r="O45" s="76">
        <f aca="true" t="shared" si="13" ref="O45:O63">ROUND((M45-N45)/N45*100,1)</f>
        <v>-0.4</v>
      </c>
      <c r="P45" s="77"/>
      <c r="Q45" s="78">
        <f>[65]!G5B9</f>
        <v>0</v>
      </c>
      <c r="R45" s="25"/>
      <c r="S45" s="26">
        <f>'[66]GTA'!F$34</f>
        <v>1423316</v>
      </c>
      <c r="T45" s="27">
        <f>'[66]GTA'!F$33</f>
        <v>5183255</v>
      </c>
      <c r="U45" s="27">
        <f>'[66]GTA'!F$34</f>
        <v>1423316</v>
      </c>
      <c r="V45" s="28">
        <f t="shared" si="6"/>
        <v>6606571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7.5" customHeight="1">
      <c r="A46" s="65" t="s">
        <v>47</v>
      </c>
      <c r="B46" s="75">
        <f>[67]!G1A9</f>
        <v>5371203</v>
      </c>
      <c r="C46" s="75">
        <f>[67]!G2T</f>
        <v>90005</v>
      </c>
      <c r="D46" s="75">
        <f t="shared" si="7"/>
        <v>5281198</v>
      </c>
      <c r="E46" s="75">
        <f>[67]!G4X</f>
        <v>172003</v>
      </c>
      <c r="F46" s="75">
        <f t="shared" si="8"/>
        <v>5109195</v>
      </c>
      <c r="G46" s="75">
        <f>[67]!G5A1</f>
        <v>4143703</v>
      </c>
      <c r="H46" s="76">
        <f t="shared" si="9"/>
        <v>-1.4</v>
      </c>
      <c r="I46" s="77"/>
      <c r="J46" s="75">
        <f>[67]!G5A2</f>
        <v>934388</v>
      </c>
      <c r="K46" s="76">
        <f t="shared" si="10"/>
        <v>-4.2</v>
      </c>
      <c r="L46" s="77"/>
      <c r="M46" s="75">
        <f t="shared" si="11"/>
        <v>5078091</v>
      </c>
      <c r="N46" s="75">
        <f t="shared" si="12"/>
        <v>5178875</v>
      </c>
      <c r="O46" s="76">
        <f t="shared" si="13"/>
        <v>-1.9</v>
      </c>
      <c r="P46" s="77"/>
      <c r="Q46" s="78">
        <f>[67]!G5B9</f>
        <v>31104</v>
      </c>
      <c r="R46" s="25"/>
      <c r="S46" s="26">
        <f>'[68]GTA'!F$34</f>
        <v>974962</v>
      </c>
      <c r="T46" s="27">
        <f>'[68]GTA'!F$33</f>
        <v>4203913</v>
      </c>
      <c r="U46" s="27">
        <f>'[68]GTA'!F$34</f>
        <v>974962</v>
      </c>
      <c r="V46" s="28">
        <f t="shared" si="6"/>
        <v>5178875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7.5" customHeight="1">
      <c r="A47" s="65" t="s">
        <v>48</v>
      </c>
      <c r="B47" s="75">
        <f>[69]!G1A9</f>
        <v>572499</v>
      </c>
      <c r="C47" s="75">
        <f>[69]!G2T</f>
        <v>5015</v>
      </c>
      <c r="D47" s="75">
        <f t="shared" si="7"/>
        <v>567484</v>
      </c>
      <c r="E47" s="75">
        <f>[69]!G4X</f>
        <v>6425</v>
      </c>
      <c r="F47" s="75">
        <f t="shared" si="8"/>
        <v>561059</v>
      </c>
      <c r="G47" s="75">
        <f>[69]!G5A1</f>
        <v>360752</v>
      </c>
      <c r="H47" s="76">
        <f t="shared" si="9"/>
        <v>2.5</v>
      </c>
      <c r="I47" s="77"/>
      <c r="J47" s="75">
        <f>[69]!G5A2</f>
        <v>198427</v>
      </c>
      <c r="K47" s="76">
        <f t="shared" si="10"/>
        <v>2.1</v>
      </c>
      <c r="L47" s="77"/>
      <c r="M47" s="75">
        <f t="shared" si="11"/>
        <v>559179</v>
      </c>
      <c r="N47" s="75">
        <f t="shared" si="12"/>
        <v>546376</v>
      </c>
      <c r="O47" s="76">
        <f t="shared" si="13"/>
        <v>2.3</v>
      </c>
      <c r="P47" s="77"/>
      <c r="Q47" s="78">
        <f>[69]!G5B9</f>
        <v>1880</v>
      </c>
      <c r="R47" s="25"/>
      <c r="S47" s="26">
        <f>'[70]GTA'!F$34</f>
        <v>194415</v>
      </c>
      <c r="T47" s="27">
        <f>'[70]GTA'!F$33</f>
        <v>351961</v>
      </c>
      <c r="U47" s="27">
        <f>'[70]GTA'!F$34</f>
        <v>194415</v>
      </c>
      <c r="V47" s="28">
        <f t="shared" si="6"/>
        <v>546376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7.5" customHeight="1">
      <c r="A48" s="73" t="s">
        <v>49</v>
      </c>
      <c r="B48" s="75">
        <f>[71]!G1A9</f>
        <v>6358721</v>
      </c>
      <c r="C48" s="75">
        <f>[71]!G2T</f>
        <v>84676</v>
      </c>
      <c r="D48" s="75">
        <f t="shared" si="7"/>
        <v>6274045</v>
      </c>
      <c r="E48" s="75">
        <f>[71]!G4X</f>
        <v>40104</v>
      </c>
      <c r="F48" s="75">
        <f t="shared" si="8"/>
        <v>6233941</v>
      </c>
      <c r="G48" s="75">
        <f>[71]!G5A1</f>
        <v>4879180</v>
      </c>
      <c r="H48" s="76">
        <f t="shared" si="9"/>
        <v>-0.9</v>
      </c>
      <c r="I48" s="79"/>
      <c r="J48" s="75">
        <f>[71]!G5A2</f>
        <v>1337712</v>
      </c>
      <c r="K48" s="76">
        <f t="shared" si="10"/>
        <v>-11.7</v>
      </c>
      <c r="L48" s="79"/>
      <c r="M48" s="75">
        <f t="shared" si="11"/>
        <v>6216892</v>
      </c>
      <c r="N48" s="75">
        <f t="shared" si="12"/>
        <v>6437973</v>
      </c>
      <c r="O48" s="76">
        <f t="shared" si="13"/>
        <v>-3.4</v>
      </c>
      <c r="P48" s="79"/>
      <c r="Q48" s="78">
        <f>[71]!G5B9</f>
        <v>17049</v>
      </c>
      <c r="R48" s="25"/>
      <c r="S48" s="26">
        <f>'[72]GTA'!F$34</f>
        <v>1514163</v>
      </c>
      <c r="T48" s="27">
        <f>'[72]GTA'!F$33</f>
        <v>4923810</v>
      </c>
      <c r="U48" s="27">
        <f>'[72]GTA'!F$34</f>
        <v>1514163</v>
      </c>
      <c r="V48" s="28">
        <f t="shared" si="6"/>
        <v>6437973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7.5" customHeight="1">
      <c r="A49" s="65" t="s">
        <v>50</v>
      </c>
      <c r="B49" s="80">
        <f>[73]!G1A9</f>
        <v>2572868</v>
      </c>
      <c r="C49" s="80">
        <f>[73]!G2T</f>
        <v>6346</v>
      </c>
      <c r="D49" s="80">
        <f t="shared" si="7"/>
        <v>2566522</v>
      </c>
      <c r="E49" s="80">
        <f>[73]!G4X</f>
        <v>5552</v>
      </c>
      <c r="F49" s="80">
        <f t="shared" si="8"/>
        <v>2560970</v>
      </c>
      <c r="G49" s="80">
        <f>[73]!G5A1</f>
        <v>1830261</v>
      </c>
      <c r="H49" s="81">
        <f t="shared" si="9"/>
        <v>0.5</v>
      </c>
      <c r="I49" s="82"/>
      <c r="J49" s="80">
        <f>[73]!G5A2</f>
        <v>730465</v>
      </c>
      <c r="K49" s="81">
        <f t="shared" si="10"/>
        <v>-20</v>
      </c>
      <c r="L49" s="82"/>
      <c r="M49" s="80">
        <f t="shared" si="11"/>
        <v>2560726</v>
      </c>
      <c r="N49" s="80">
        <f t="shared" si="12"/>
        <v>2733263</v>
      </c>
      <c r="O49" s="81">
        <f t="shared" si="13"/>
        <v>-6.3</v>
      </c>
      <c r="P49" s="82"/>
      <c r="Q49" s="83">
        <f>[73]!G5B9</f>
        <v>244</v>
      </c>
      <c r="R49" s="30"/>
      <c r="S49" s="31">
        <f>'[74]GTA'!F$34</f>
        <v>912810</v>
      </c>
      <c r="T49" s="32">
        <f>'[74]GTA'!F$33</f>
        <v>1820453</v>
      </c>
      <c r="U49" s="32">
        <f>'[74]GTA'!F$34</f>
        <v>912810</v>
      </c>
      <c r="V49" s="33">
        <f t="shared" si="6"/>
        <v>2733263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7.5" customHeight="1">
      <c r="A50" s="65" t="s">
        <v>51</v>
      </c>
      <c r="B50" s="75">
        <f>[75]!G1A9</f>
        <v>2043510</v>
      </c>
      <c r="C50" s="75">
        <f>[75]!G2T</f>
        <v>0</v>
      </c>
      <c r="D50" s="75">
        <f t="shared" si="7"/>
        <v>2043510</v>
      </c>
      <c r="E50" s="75">
        <f>[75]!G4X</f>
        <v>1397</v>
      </c>
      <c r="F50" s="75">
        <f t="shared" si="8"/>
        <v>2042113</v>
      </c>
      <c r="G50" s="75">
        <f>[75]!G5A1</f>
        <v>1535893</v>
      </c>
      <c r="H50" s="76">
        <f t="shared" si="9"/>
        <v>2.1</v>
      </c>
      <c r="I50" s="79"/>
      <c r="J50" s="75">
        <f>[75]!G5A2</f>
        <v>502709</v>
      </c>
      <c r="K50" s="76">
        <f t="shared" si="10"/>
        <v>-6.9</v>
      </c>
      <c r="L50" s="79"/>
      <c r="M50" s="75">
        <f t="shared" si="11"/>
        <v>2038602</v>
      </c>
      <c r="N50" s="75">
        <f t="shared" si="12"/>
        <v>2044937</v>
      </c>
      <c r="O50" s="76">
        <f t="shared" si="13"/>
        <v>-0.3</v>
      </c>
      <c r="P50" s="79"/>
      <c r="Q50" s="78">
        <f>[75]!G5B9</f>
        <v>3511</v>
      </c>
      <c r="R50" s="25"/>
      <c r="S50" s="34">
        <f>'[76]GTA'!F$34</f>
        <v>540254</v>
      </c>
      <c r="T50" s="27">
        <f>'[76]GTA'!F$33</f>
        <v>1504683</v>
      </c>
      <c r="U50" s="27">
        <f>'[76]GTA'!F$34</f>
        <v>540254</v>
      </c>
      <c r="V50" s="28">
        <f t="shared" si="6"/>
        <v>2044937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7.5" customHeight="1">
      <c r="A51" s="65" t="s">
        <v>52</v>
      </c>
      <c r="B51" s="75">
        <f>[77]!G1A9</f>
        <v>6469762</v>
      </c>
      <c r="C51" s="75">
        <f>[77]!G2T</f>
        <v>230096</v>
      </c>
      <c r="D51" s="75">
        <f t="shared" si="7"/>
        <v>6239666</v>
      </c>
      <c r="E51" s="75">
        <f>[77]!G4X</f>
        <v>4254</v>
      </c>
      <c r="F51" s="75">
        <f t="shared" si="8"/>
        <v>6235412</v>
      </c>
      <c r="G51" s="75">
        <f>[77]!G5A1</f>
        <v>4844364</v>
      </c>
      <c r="H51" s="76">
        <f t="shared" si="9"/>
        <v>-2.1</v>
      </c>
      <c r="I51" s="79"/>
      <c r="J51" s="75">
        <f>[77]!G5A2</f>
        <v>1387647</v>
      </c>
      <c r="K51" s="76">
        <f t="shared" si="10"/>
        <v>4.1</v>
      </c>
      <c r="L51" s="79"/>
      <c r="M51" s="75">
        <f t="shared" si="11"/>
        <v>6232011</v>
      </c>
      <c r="N51" s="75">
        <f t="shared" si="12"/>
        <v>6281782</v>
      </c>
      <c r="O51" s="76">
        <f t="shared" si="13"/>
        <v>-0.8</v>
      </c>
      <c r="P51" s="79"/>
      <c r="Q51" s="78">
        <f>[77]!G5B9</f>
        <v>3401</v>
      </c>
      <c r="R51" s="25"/>
      <c r="S51" s="34">
        <f>'[78]GTA'!F$34</f>
        <v>1332938</v>
      </c>
      <c r="T51" s="27">
        <f>'[78]GTA'!F$33</f>
        <v>4948844</v>
      </c>
      <c r="U51" s="27">
        <f>'[78]GTA'!F$34</f>
        <v>1332938</v>
      </c>
      <c r="V51" s="28">
        <f t="shared" si="6"/>
        <v>6281782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7.5" customHeight="1">
      <c r="A52" s="73" t="s">
        <v>80</v>
      </c>
      <c r="B52" s="84">
        <f>[79]!G1A9</f>
        <v>451949</v>
      </c>
      <c r="C52" s="84">
        <f>[79]!G2T</f>
        <v>14956</v>
      </c>
      <c r="D52" s="84">
        <f t="shared" si="7"/>
        <v>436993</v>
      </c>
      <c r="E52" s="84">
        <f>[79]!G4X</f>
        <v>0</v>
      </c>
      <c r="F52" s="84">
        <f t="shared" si="8"/>
        <v>436993</v>
      </c>
      <c r="G52" s="84">
        <f>[79]!G5A1</f>
        <v>380820</v>
      </c>
      <c r="H52" s="85">
        <f t="shared" si="9"/>
        <v>-3.5</v>
      </c>
      <c r="I52" s="86"/>
      <c r="J52" s="84">
        <f>[79]!G5A2</f>
        <v>56173</v>
      </c>
      <c r="K52" s="85">
        <f t="shared" si="10"/>
        <v>-0.5</v>
      </c>
      <c r="L52" s="86"/>
      <c r="M52" s="84">
        <f t="shared" si="11"/>
        <v>436993</v>
      </c>
      <c r="N52" s="84">
        <f t="shared" si="12"/>
        <v>450910</v>
      </c>
      <c r="O52" s="85">
        <f t="shared" si="13"/>
        <v>-3.1</v>
      </c>
      <c r="P52" s="86"/>
      <c r="Q52" s="87">
        <f>[79]!G5B9</f>
        <v>0</v>
      </c>
      <c r="R52" s="35"/>
      <c r="S52" s="37">
        <f>'[80]GTA'!F$34</f>
        <v>56475</v>
      </c>
      <c r="T52" s="38">
        <f>'[80]GTA'!F$33</f>
        <v>394435</v>
      </c>
      <c r="U52" s="38">
        <f>'[80]GTA'!F$34</f>
        <v>56475</v>
      </c>
      <c r="V52" s="29">
        <f t="shared" si="6"/>
        <v>450910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7.5" customHeight="1">
      <c r="A53" s="65" t="s">
        <v>53</v>
      </c>
      <c r="B53" s="75">
        <f>[81]!G1A9</f>
        <v>3365208</v>
      </c>
      <c r="C53" s="75">
        <f>[81]!G2T</f>
        <v>7141</v>
      </c>
      <c r="D53" s="75">
        <f t="shared" si="7"/>
        <v>3358067</v>
      </c>
      <c r="E53" s="75">
        <f>[81]!G4X</f>
        <v>13</v>
      </c>
      <c r="F53" s="75">
        <f t="shared" si="8"/>
        <v>3358054</v>
      </c>
      <c r="G53" s="75">
        <f>[81]!G5A1</f>
        <v>2714953</v>
      </c>
      <c r="H53" s="76">
        <f t="shared" si="9"/>
        <v>5.7</v>
      </c>
      <c r="I53" s="77"/>
      <c r="J53" s="75">
        <f>[81]!G5A2</f>
        <v>643101</v>
      </c>
      <c r="K53" s="76">
        <f t="shared" si="10"/>
        <v>-3.2</v>
      </c>
      <c r="L53" s="77"/>
      <c r="M53" s="75">
        <f t="shared" si="11"/>
        <v>3358054</v>
      </c>
      <c r="N53" s="75">
        <f t="shared" si="12"/>
        <v>3233320</v>
      </c>
      <c r="O53" s="76">
        <f t="shared" si="13"/>
        <v>3.9</v>
      </c>
      <c r="P53" s="77"/>
      <c r="Q53" s="78">
        <f>[81]!G5B9</f>
        <v>0</v>
      </c>
      <c r="R53" s="25"/>
      <c r="S53" s="26">
        <f>'[82]GTA'!F$34</f>
        <v>664565</v>
      </c>
      <c r="T53" s="27">
        <f>'[82]GTA'!F$33</f>
        <v>2568755</v>
      </c>
      <c r="U53" s="27">
        <f>'[82]GTA'!F$34</f>
        <v>664565</v>
      </c>
      <c r="V53" s="28">
        <f t="shared" si="6"/>
        <v>3233320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7.5" customHeight="1">
      <c r="A54" s="65" t="s">
        <v>54</v>
      </c>
      <c r="B54" s="75">
        <f>[83]!G1A9</f>
        <v>648551</v>
      </c>
      <c r="C54" s="75">
        <f>[83]!G2T</f>
        <v>10307</v>
      </c>
      <c r="D54" s="75">
        <f t="shared" si="7"/>
        <v>638244</v>
      </c>
      <c r="E54" s="75">
        <f>[83]!G4X</f>
        <v>5108</v>
      </c>
      <c r="F54" s="75">
        <f t="shared" si="8"/>
        <v>633136</v>
      </c>
      <c r="G54" s="75">
        <f>[83]!G5A1</f>
        <v>433531</v>
      </c>
      <c r="H54" s="76">
        <f t="shared" si="9"/>
        <v>6.7</v>
      </c>
      <c r="I54" s="77"/>
      <c r="J54" s="75">
        <f>[83]!G5A2</f>
        <v>199605</v>
      </c>
      <c r="K54" s="76">
        <f t="shared" si="10"/>
        <v>-3</v>
      </c>
      <c r="L54" s="77"/>
      <c r="M54" s="75">
        <f t="shared" si="11"/>
        <v>633136</v>
      </c>
      <c r="N54" s="75">
        <f t="shared" si="12"/>
        <v>612028</v>
      </c>
      <c r="O54" s="76">
        <f t="shared" si="13"/>
        <v>3.4</v>
      </c>
      <c r="P54" s="77"/>
      <c r="Q54" s="78">
        <f>[83]!G5B9</f>
        <v>0</v>
      </c>
      <c r="R54" s="25"/>
      <c r="S54" s="26">
        <f>'[84]GTA'!F$34</f>
        <v>205693</v>
      </c>
      <c r="T54" s="27">
        <f>'[84]GTA'!F$33</f>
        <v>406335</v>
      </c>
      <c r="U54" s="27">
        <f>'[84]GTA'!F$34</f>
        <v>205693</v>
      </c>
      <c r="V54" s="28">
        <f t="shared" si="6"/>
        <v>612028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7.5" customHeight="1">
      <c r="A55" s="65" t="s">
        <v>55</v>
      </c>
      <c r="B55" s="75">
        <f>[85]!G1A9</f>
        <v>3989927</v>
      </c>
      <c r="C55" s="75">
        <f>[85]!G2T</f>
        <v>54384</v>
      </c>
      <c r="D55" s="75">
        <f t="shared" si="7"/>
        <v>3935543</v>
      </c>
      <c r="E55" s="75">
        <f>[85]!G4X</f>
        <v>53216</v>
      </c>
      <c r="F55" s="75">
        <f t="shared" si="8"/>
        <v>3882327</v>
      </c>
      <c r="G55" s="75">
        <f>[85]!G5A1</f>
        <v>3055764</v>
      </c>
      <c r="H55" s="76">
        <f t="shared" si="9"/>
        <v>2.4</v>
      </c>
      <c r="I55" s="77"/>
      <c r="J55" s="75">
        <f>[85]!G5A2</f>
        <v>826563</v>
      </c>
      <c r="K55" s="76">
        <f t="shared" si="10"/>
        <v>-17.6</v>
      </c>
      <c r="L55" s="77"/>
      <c r="M55" s="75">
        <f t="shared" si="11"/>
        <v>3882327</v>
      </c>
      <c r="N55" s="75">
        <f t="shared" si="12"/>
        <v>3986978</v>
      </c>
      <c r="O55" s="76">
        <f t="shared" si="13"/>
        <v>-2.6</v>
      </c>
      <c r="P55" s="77"/>
      <c r="Q55" s="78">
        <f>[85]!G5B9</f>
        <v>0</v>
      </c>
      <c r="R55" s="25"/>
      <c r="S55" s="26">
        <f>'[86]GTA'!F$34</f>
        <v>1002930</v>
      </c>
      <c r="T55" s="27">
        <f>'[86]GTA'!F$33</f>
        <v>2984048</v>
      </c>
      <c r="U55" s="27">
        <f>'[86]GTA'!F$34</f>
        <v>1002930</v>
      </c>
      <c r="V55" s="28">
        <f t="shared" si="6"/>
        <v>3986978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7.5" customHeight="1">
      <c r="A56" s="73" t="s">
        <v>56</v>
      </c>
      <c r="B56" s="75">
        <f>[87]!G1A9</f>
        <v>15793901</v>
      </c>
      <c r="C56" s="75">
        <f>[87]!G2T</f>
        <v>117371</v>
      </c>
      <c r="D56" s="75">
        <f t="shared" si="7"/>
        <v>15676530</v>
      </c>
      <c r="E56" s="75">
        <f>[87]!G4X</f>
        <v>5839</v>
      </c>
      <c r="F56" s="75">
        <f t="shared" si="8"/>
        <v>15670691</v>
      </c>
      <c r="G56" s="75">
        <f>[87]!G5A1</f>
        <v>11880506</v>
      </c>
      <c r="H56" s="76">
        <f t="shared" si="9"/>
        <v>-0.4</v>
      </c>
      <c r="I56" s="79"/>
      <c r="J56" s="75">
        <f>[87]!G5A2</f>
        <v>3767938</v>
      </c>
      <c r="K56" s="76">
        <f t="shared" si="10"/>
        <v>-9.8</v>
      </c>
      <c r="L56" s="79"/>
      <c r="M56" s="75">
        <f t="shared" si="11"/>
        <v>15648444</v>
      </c>
      <c r="N56" s="75">
        <f t="shared" si="12"/>
        <v>16109521</v>
      </c>
      <c r="O56" s="76">
        <f t="shared" si="13"/>
        <v>-2.9</v>
      </c>
      <c r="P56" s="79"/>
      <c r="Q56" s="78">
        <f>[87]!G5B9</f>
        <v>22247</v>
      </c>
      <c r="R56" s="25"/>
      <c r="S56" s="26">
        <f>'[88]GTA'!F$34</f>
        <v>4176686</v>
      </c>
      <c r="T56" s="27">
        <f>'[88]GTA'!F$33</f>
        <v>11932835</v>
      </c>
      <c r="U56" s="27">
        <f>'[88]GTA'!F$34</f>
        <v>4176686</v>
      </c>
      <c r="V56" s="28">
        <f t="shared" si="6"/>
        <v>16109521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7.5" customHeight="1">
      <c r="A57" s="65" t="s">
        <v>57</v>
      </c>
      <c r="B57" s="80">
        <f>[89]!G1A9</f>
        <v>1484199</v>
      </c>
      <c r="C57" s="80">
        <f>[89]!G2T</f>
        <v>42928</v>
      </c>
      <c r="D57" s="80">
        <f t="shared" si="7"/>
        <v>1441271</v>
      </c>
      <c r="E57" s="80">
        <f>[89]!G4X</f>
        <v>972</v>
      </c>
      <c r="F57" s="80">
        <f t="shared" si="8"/>
        <v>1440299</v>
      </c>
      <c r="G57" s="80">
        <f>[89]!G5A1</f>
        <v>1022255</v>
      </c>
      <c r="H57" s="81">
        <f t="shared" si="9"/>
        <v>-0.6</v>
      </c>
      <c r="I57" s="82"/>
      <c r="J57" s="80">
        <f>[89]!G5A2</f>
        <v>418044</v>
      </c>
      <c r="K57" s="81">
        <f t="shared" si="10"/>
        <v>-6.1</v>
      </c>
      <c r="L57" s="82"/>
      <c r="M57" s="80">
        <f t="shared" si="11"/>
        <v>1440299</v>
      </c>
      <c r="N57" s="80">
        <f t="shared" si="12"/>
        <v>1473986</v>
      </c>
      <c r="O57" s="81">
        <f t="shared" si="13"/>
        <v>-2.3</v>
      </c>
      <c r="P57" s="82"/>
      <c r="Q57" s="83">
        <f>[89]!G5B9</f>
        <v>0</v>
      </c>
      <c r="R57" s="30"/>
      <c r="S57" s="31">
        <f>'[90]GTA'!F$34</f>
        <v>445362</v>
      </c>
      <c r="T57" s="32">
        <f>'[90]GTA'!F$33</f>
        <v>1028624</v>
      </c>
      <c r="U57" s="32">
        <f>'[90]GTA'!F$34</f>
        <v>445362</v>
      </c>
      <c r="V57" s="33">
        <f t="shared" si="6"/>
        <v>1473986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7.5" customHeight="1">
      <c r="A58" s="65" t="s">
        <v>58</v>
      </c>
      <c r="B58" s="75">
        <f>[91]!G1A9</f>
        <v>388949</v>
      </c>
      <c r="C58" s="75">
        <f>[91]!G2T</f>
        <v>3131</v>
      </c>
      <c r="D58" s="75">
        <f t="shared" si="7"/>
        <v>385818</v>
      </c>
      <c r="E58" s="75">
        <f>[91]!G4X</f>
        <v>0</v>
      </c>
      <c r="F58" s="75">
        <f t="shared" si="8"/>
        <v>385818</v>
      </c>
      <c r="G58" s="75">
        <f>[91]!G5A1</f>
        <v>331440</v>
      </c>
      <c r="H58" s="76">
        <f t="shared" si="9"/>
        <v>0.5</v>
      </c>
      <c r="I58" s="79"/>
      <c r="J58" s="75">
        <f>[91]!G5A2</f>
        <v>54378</v>
      </c>
      <c r="K58" s="76">
        <f t="shared" si="10"/>
        <v>-11</v>
      </c>
      <c r="L58" s="79"/>
      <c r="M58" s="75">
        <f t="shared" si="11"/>
        <v>385818</v>
      </c>
      <c r="N58" s="75">
        <f t="shared" si="12"/>
        <v>391006</v>
      </c>
      <c r="O58" s="76">
        <f t="shared" si="13"/>
        <v>-1.3</v>
      </c>
      <c r="P58" s="79"/>
      <c r="Q58" s="78">
        <f>[91]!G5B9</f>
        <v>0</v>
      </c>
      <c r="R58" s="25"/>
      <c r="S58" s="34">
        <f>'[92]GTA'!F$34</f>
        <v>61075</v>
      </c>
      <c r="T58" s="27">
        <f>'[92]GTA'!F$33</f>
        <v>329931</v>
      </c>
      <c r="U58" s="27">
        <f>'[92]GTA'!F$34</f>
        <v>61075</v>
      </c>
      <c r="V58" s="28">
        <f t="shared" si="6"/>
        <v>391006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7.5" customHeight="1">
      <c r="A59" s="65" t="s">
        <v>59</v>
      </c>
      <c r="B59" s="75">
        <f>[93]!G1A9</f>
        <v>4896918</v>
      </c>
      <c r="C59" s="75">
        <f>[93]!G2T</f>
        <v>47517</v>
      </c>
      <c r="D59" s="75">
        <f t="shared" si="7"/>
        <v>4849401</v>
      </c>
      <c r="E59" s="75">
        <f>[93]!G4X</f>
        <v>75675</v>
      </c>
      <c r="F59" s="75">
        <f t="shared" si="8"/>
        <v>4773726</v>
      </c>
      <c r="G59" s="75">
        <f>[93]!G5A1</f>
        <v>3788232</v>
      </c>
      <c r="H59" s="76">
        <f t="shared" si="9"/>
        <v>-2.7</v>
      </c>
      <c r="I59" s="79"/>
      <c r="J59" s="75">
        <f>[93]!G5A2</f>
        <v>978699</v>
      </c>
      <c r="K59" s="76">
        <f t="shared" si="10"/>
        <v>0.5</v>
      </c>
      <c r="L59" s="79"/>
      <c r="M59" s="75">
        <f t="shared" si="11"/>
        <v>4766931</v>
      </c>
      <c r="N59" s="75">
        <f t="shared" si="12"/>
        <v>4866495</v>
      </c>
      <c r="O59" s="76">
        <f t="shared" si="13"/>
        <v>-2</v>
      </c>
      <c r="P59" s="79"/>
      <c r="Q59" s="78">
        <f>[93]!G5B9</f>
        <v>6795</v>
      </c>
      <c r="R59" s="25"/>
      <c r="S59" s="34">
        <f>'[94]GTA'!F$34</f>
        <v>973716</v>
      </c>
      <c r="T59" s="27">
        <f>'[94]GTA'!F$33</f>
        <v>3892779</v>
      </c>
      <c r="U59" s="27">
        <f>'[94]GTA'!F$34</f>
        <v>973716</v>
      </c>
      <c r="V59" s="28">
        <f t="shared" si="6"/>
        <v>4866495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7.5" customHeight="1">
      <c r="A60" s="65" t="s">
        <v>60</v>
      </c>
      <c r="B60" s="75">
        <f>[95]!G1A9</f>
        <v>3307714</v>
      </c>
      <c r="C60" s="75">
        <f>[95]!G2T</f>
        <v>28319</v>
      </c>
      <c r="D60" s="75">
        <f t="shared" si="7"/>
        <v>3279395</v>
      </c>
      <c r="E60" s="75">
        <f>[95]!G4X</f>
        <v>49159</v>
      </c>
      <c r="F60" s="75">
        <f t="shared" si="8"/>
        <v>3230236</v>
      </c>
      <c r="G60" s="75">
        <f>[95]!G5A1</f>
        <v>2630840</v>
      </c>
      <c r="H60" s="76">
        <f t="shared" si="9"/>
        <v>2</v>
      </c>
      <c r="I60" s="79"/>
      <c r="J60" s="75">
        <f>[95]!G5A2</f>
        <v>599396</v>
      </c>
      <c r="K60" s="76">
        <f t="shared" si="10"/>
        <v>-9.4</v>
      </c>
      <c r="L60" s="79"/>
      <c r="M60" s="75">
        <f t="shared" si="11"/>
        <v>3230236</v>
      </c>
      <c r="N60" s="75">
        <f t="shared" si="12"/>
        <v>3240403</v>
      </c>
      <c r="O60" s="76">
        <f t="shared" si="13"/>
        <v>-0.3</v>
      </c>
      <c r="P60" s="79"/>
      <c r="Q60" s="78">
        <f>[95]!G5B9</f>
        <v>0</v>
      </c>
      <c r="R60" s="25"/>
      <c r="S60" s="34">
        <f>'[96]GTA'!F$34</f>
        <v>661409</v>
      </c>
      <c r="T60" s="27">
        <f>'[96]GTA'!F$33</f>
        <v>2578994</v>
      </c>
      <c r="U60" s="27">
        <f>'[96]GTA'!F$34</f>
        <v>661409</v>
      </c>
      <c r="V60" s="28">
        <f t="shared" si="6"/>
        <v>3240403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7.5" customHeight="1">
      <c r="A61" s="61" t="s">
        <v>61</v>
      </c>
      <c r="B61" s="80">
        <f>[97]!G1A9</f>
        <v>1106354</v>
      </c>
      <c r="C61" s="80">
        <f>[97]!G2T</f>
        <v>0</v>
      </c>
      <c r="D61" s="80">
        <f t="shared" si="7"/>
        <v>1106354</v>
      </c>
      <c r="E61" s="80">
        <f>[97]!G4X</f>
        <v>5864</v>
      </c>
      <c r="F61" s="80">
        <f t="shared" si="8"/>
        <v>1100490</v>
      </c>
      <c r="G61" s="80">
        <f>[97]!G5A1</f>
        <v>828311</v>
      </c>
      <c r="H61" s="81">
        <f t="shared" si="9"/>
        <v>8.9</v>
      </c>
      <c r="I61" s="82"/>
      <c r="J61" s="80">
        <f>[97]!G5A2</f>
        <v>272179</v>
      </c>
      <c r="K61" s="81">
        <f t="shared" si="10"/>
        <v>-5.2</v>
      </c>
      <c r="L61" s="82"/>
      <c r="M61" s="80">
        <f t="shared" si="11"/>
        <v>1100490</v>
      </c>
      <c r="N61" s="80">
        <f t="shared" si="12"/>
        <v>1047636</v>
      </c>
      <c r="O61" s="81">
        <f t="shared" si="13"/>
        <v>5</v>
      </c>
      <c r="P61" s="82"/>
      <c r="Q61" s="83">
        <f>[97]!G5B9</f>
        <v>0</v>
      </c>
      <c r="R61" s="30"/>
      <c r="S61" s="31">
        <f>'[98]GTA'!F$34</f>
        <v>287134</v>
      </c>
      <c r="T61" s="32">
        <f>'[98]GTA'!F$33</f>
        <v>760502</v>
      </c>
      <c r="U61" s="32">
        <f>'[98]GTA'!F$34</f>
        <v>287134</v>
      </c>
      <c r="V61" s="33">
        <f t="shared" si="6"/>
        <v>1047636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7.5" customHeight="1">
      <c r="A62" s="65" t="s">
        <v>62</v>
      </c>
      <c r="B62" s="75">
        <f>[99]!G1A9</f>
        <v>3196139</v>
      </c>
      <c r="C62" s="75">
        <f>[99]!G2T</f>
        <v>33984</v>
      </c>
      <c r="D62" s="75">
        <f t="shared" si="7"/>
        <v>3162155</v>
      </c>
      <c r="E62" s="75">
        <f>[99]!G4X</f>
        <v>34406</v>
      </c>
      <c r="F62" s="75">
        <f t="shared" si="8"/>
        <v>3127749</v>
      </c>
      <c r="G62" s="75">
        <f>[99]!G5A1</f>
        <v>2448963</v>
      </c>
      <c r="H62" s="76">
        <f t="shared" si="9"/>
        <v>0.1</v>
      </c>
      <c r="I62" s="79"/>
      <c r="J62" s="75">
        <f>[99]!G5A2</f>
        <v>678786</v>
      </c>
      <c r="K62" s="76">
        <f t="shared" si="10"/>
        <v>-8.6</v>
      </c>
      <c r="L62" s="79"/>
      <c r="M62" s="75">
        <f t="shared" si="11"/>
        <v>3127749</v>
      </c>
      <c r="N62" s="75">
        <f t="shared" si="12"/>
        <v>3188339</v>
      </c>
      <c r="O62" s="76">
        <f t="shared" si="13"/>
        <v>-1.9</v>
      </c>
      <c r="P62" s="79"/>
      <c r="Q62" s="78">
        <f>[99]!G5B9</f>
        <v>0</v>
      </c>
      <c r="R62" s="25"/>
      <c r="S62" s="34">
        <f>'[100]GTA'!F$34</f>
        <v>742703</v>
      </c>
      <c r="T62" s="27">
        <f>'[100]GTA'!F$33</f>
        <v>2445636</v>
      </c>
      <c r="U62" s="27">
        <f>'[100]GTA'!F$34</f>
        <v>742703</v>
      </c>
      <c r="V62" s="28">
        <f t="shared" si="6"/>
        <v>3188339</v>
      </c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7.5" customHeight="1">
      <c r="A63" s="73" t="s">
        <v>63</v>
      </c>
      <c r="B63" s="84">
        <f>[101]!G1A9</f>
        <v>694301</v>
      </c>
      <c r="C63" s="84">
        <f>[101]!G2T</f>
        <v>2433</v>
      </c>
      <c r="D63" s="84">
        <f t="shared" si="7"/>
        <v>691868</v>
      </c>
      <c r="E63" s="84">
        <f>[101]!G4X</f>
        <v>36524</v>
      </c>
      <c r="F63" s="84">
        <f t="shared" si="8"/>
        <v>655344</v>
      </c>
      <c r="G63" s="84">
        <f>[101]!G5A1</f>
        <v>329714</v>
      </c>
      <c r="H63" s="85">
        <f t="shared" si="9"/>
        <v>3.8</v>
      </c>
      <c r="I63" s="86"/>
      <c r="J63" s="84">
        <f>[101]!G5A2</f>
        <v>325630</v>
      </c>
      <c r="K63" s="85">
        <f t="shared" si="10"/>
        <v>-16.5</v>
      </c>
      <c r="L63" s="86"/>
      <c r="M63" s="84">
        <f t="shared" si="11"/>
        <v>655344</v>
      </c>
      <c r="N63" s="84">
        <f t="shared" si="12"/>
        <v>707405</v>
      </c>
      <c r="O63" s="85">
        <f t="shared" si="13"/>
        <v>-7.4</v>
      </c>
      <c r="P63" s="86"/>
      <c r="Q63" s="87">
        <f>[101]!G5B9</f>
        <v>0</v>
      </c>
      <c r="R63" s="35"/>
      <c r="S63" s="37">
        <f>'[102]GTA'!F$34</f>
        <v>389865</v>
      </c>
      <c r="T63" s="38">
        <f>'[102]GTA'!F$33</f>
        <v>317540</v>
      </c>
      <c r="U63" s="38">
        <f>'[102]GTA'!F$34</f>
        <v>389865</v>
      </c>
      <c r="V63" s="29">
        <f t="shared" si="6"/>
        <v>707405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9" customHeight="1">
      <c r="A64" s="73" t="s">
        <v>64</v>
      </c>
      <c r="B64" s="84">
        <f>SUM(B13:B63)</f>
        <v>172244104</v>
      </c>
      <c r="C64" s="84">
        <f>SUM(C13:C63)</f>
        <v>2117733</v>
      </c>
      <c r="D64" s="84">
        <f>B64-C64</f>
        <v>170126371</v>
      </c>
      <c r="E64" s="84">
        <f>SUM(E13:E63)</f>
        <v>991499</v>
      </c>
      <c r="F64" s="84">
        <f>D64-E64</f>
        <v>169134872</v>
      </c>
      <c r="G64" s="84">
        <f>SUM(G13:G63)</f>
        <v>133366200</v>
      </c>
      <c r="H64" s="85">
        <f>ROUND((G64-T64)/T64*100,1)</f>
        <v>0.1</v>
      </c>
      <c r="I64" s="86"/>
      <c r="J64" s="84">
        <f>SUM(J13:J63)</f>
        <v>35330296</v>
      </c>
      <c r="K64" s="85">
        <f>ROUND((J64-U64)/U64*100,1)</f>
        <v>-6.9</v>
      </c>
      <c r="L64" s="86"/>
      <c r="M64" s="84">
        <f>G64+J64</f>
        <v>168696496</v>
      </c>
      <c r="N64" s="84">
        <f>SUM(N13:N63)</f>
        <v>171229244</v>
      </c>
      <c r="O64" s="85">
        <f>ROUND((M64-N64)/N64*100,1)</f>
        <v>-1.5</v>
      </c>
      <c r="P64" s="86"/>
      <c r="Q64" s="87">
        <f>SUM(Q13:Q63)</f>
        <v>438376</v>
      </c>
      <c r="R64" s="36"/>
      <c r="S64" s="29">
        <f>SUM(S13:S63)</f>
        <v>37940589</v>
      </c>
      <c r="T64" s="29">
        <f>SUM(T13:T63)</f>
        <v>133288655</v>
      </c>
      <c r="U64" s="29">
        <f>SUM(U13:U63)</f>
        <v>37940589</v>
      </c>
      <c r="V64" s="29">
        <f>SUM(V13:V63)</f>
        <v>171229244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ht="9" customHeight="1">
      <c r="A65" s="73" t="s">
        <v>65</v>
      </c>
      <c r="B65" s="85">
        <v>100</v>
      </c>
      <c r="C65" s="85">
        <f>C64/B64*100</f>
        <v>1.229495205246619</v>
      </c>
      <c r="D65" s="85">
        <f>D64/B64*100</f>
        <v>98.77050479475338</v>
      </c>
      <c r="E65" s="85">
        <f>E64/B64*100</f>
        <v>0.5756359590688805</v>
      </c>
      <c r="F65" s="85">
        <f>F64/B64*100</f>
        <v>98.1948688356845</v>
      </c>
      <c r="G65" s="85">
        <f>G64/B64*100</f>
        <v>77.42860098131429</v>
      </c>
      <c r="H65" s="88" t="s">
        <v>79</v>
      </c>
      <c r="I65" s="89"/>
      <c r="J65" s="85">
        <f>J64/B64*100</f>
        <v>20.511759287853476</v>
      </c>
      <c r="K65" s="88" t="s">
        <v>79</v>
      </c>
      <c r="L65" s="89"/>
      <c r="M65" s="85">
        <f>M64/B64*100</f>
        <v>97.94036026916775</v>
      </c>
      <c r="N65" s="88" t="s">
        <v>79</v>
      </c>
      <c r="O65" s="88" t="s">
        <v>79</v>
      </c>
      <c r="P65" s="89"/>
      <c r="Q65" s="90">
        <f>Q64/B64*100</f>
        <v>0.25450856651673837</v>
      </c>
      <c r="R65" s="36"/>
      <c r="S65" s="39"/>
      <c r="T65" s="39"/>
      <c r="U65" s="39"/>
      <c r="V65" s="39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ht="6" customHeight="1">
      <c r="A66" s="65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2"/>
      <c r="R66" s="40"/>
      <c r="S66" s="39"/>
      <c r="T66" s="39"/>
      <c r="U66" s="39"/>
      <c r="V66" s="39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ht="6.75" customHeight="1">
      <c r="A67" s="93" t="s">
        <v>66</v>
      </c>
      <c r="B67" s="94"/>
      <c r="C67" s="94"/>
      <c r="D67" s="94"/>
      <c r="E67" s="94"/>
      <c r="F67" s="94"/>
      <c r="G67" s="91"/>
      <c r="H67" s="91" t="s">
        <v>91</v>
      </c>
      <c r="I67" s="94"/>
      <c r="J67" s="94"/>
      <c r="K67" s="94"/>
      <c r="L67" s="94"/>
      <c r="M67" s="94"/>
      <c r="N67" s="94"/>
      <c r="O67" s="94"/>
      <c r="P67" s="94"/>
      <c r="Q67" s="95"/>
      <c r="R67" s="10"/>
      <c r="S67" s="2"/>
      <c r="T67" s="2"/>
      <c r="U67" s="2"/>
      <c r="V67" s="2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ht="6.75" customHeight="1">
      <c r="A68" s="93" t="s">
        <v>67</v>
      </c>
      <c r="B68" s="94"/>
      <c r="C68" s="94"/>
      <c r="D68" s="94"/>
      <c r="E68" s="94"/>
      <c r="F68" s="94"/>
      <c r="G68" s="91"/>
      <c r="H68" s="91" t="s">
        <v>69</v>
      </c>
      <c r="I68" s="94"/>
      <c r="J68" s="94"/>
      <c r="K68" s="94"/>
      <c r="L68" s="94"/>
      <c r="M68" s="94"/>
      <c r="N68" s="94"/>
      <c r="O68" s="94"/>
      <c r="P68" s="94"/>
      <c r="Q68" s="95"/>
      <c r="R68" s="10"/>
      <c r="S68" s="2"/>
      <c r="T68" s="2"/>
      <c r="U68" s="2"/>
      <c r="V68" s="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6.75" customHeight="1">
      <c r="A69" s="93" t="s">
        <v>68</v>
      </c>
      <c r="B69" s="94"/>
      <c r="C69" s="94"/>
      <c r="D69" s="94"/>
      <c r="E69" s="94"/>
      <c r="F69" s="94"/>
      <c r="G69" s="91"/>
      <c r="H69" s="91" t="s">
        <v>71</v>
      </c>
      <c r="I69" s="94"/>
      <c r="J69" s="94"/>
      <c r="K69" s="94"/>
      <c r="L69" s="94"/>
      <c r="M69" s="94"/>
      <c r="N69" s="94"/>
      <c r="O69" s="94"/>
      <c r="P69" s="94"/>
      <c r="Q69" s="95"/>
      <c r="R69" s="10"/>
      <c r="S69" s="2"/>
      <c r="T69" s="2"/>
      <c r="U69" s="2"/>
      <c r="V69" s="2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6.75" customHeight="1">
      <c r="A70" s="93" t="s">
        <v>70</v>
      </c>
      <c r="B70" s="94"/>
      <c r="C70" s="94"/>
      <c r="D70" s="94"/>
      <c r="E70" s="94"/>
      <c r="F70" s="94"/>
      <c r="G70" s="91"/>
      <c r="H70" s="91" t="s">
        <v>73</v>
      </c>
      <c r="I70" s="94"/>
      <c r="J70" s="94"/>
      <c r="K70" s="94"/>
      <c r="L70" s="94"/>
      <c r="M70" s="94"/>
      <c r="N70" s="94"/>
      <c r="O70" s="94"/>
      <c r="P70" s="94"/>
      <c r="Q70" s="95"/>
      <c r="R70" s="10"/>
      <c r="S70" s="2"/>
      <c r="T70" s="2"/>
      <c r="U70" s="2"/>
      <c r="V70" s="2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6.75" customHeight="1">
      <c r="A71" s="93" t="s">
        <v>72</v>
      </c>
      <c r="B71" s="94"/>
      <c r="C71" s="94"/>
      <c r="D71" s="94"/>
      <c r="E71" s="94"/>
      <c r="F71" s="94"/>
      <c r="G71" s="91"/>
      <c r="H71" s="91" t="s">
        <v>75</v>
      </c>
      <c r="I71" s="94"/>
      <c r="J71" s="94"/>
      <c r="K71" s="94"/>
      <c r="L71" s="94"/>
      <c r="M71" s="94"/>
      <c r="N71" s="94"/>
      <c r="O71" s="94"/>
      <c r="P71" s="94"/>
      <c r="Q71" s="95"/>
      <c r="R71" s="10"/>
      <c r="S71" s="2"/>
      <c r="T71" s="2"/>
      <c r="U71" s="2"/>
      <c r="V71" s="2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6.75" customHeight="1">
      <c r="A72" s="93" t="s">
        <v>74</v>
      </c>
      <c r="B72" s="94"/>
      <c r="C72" s="94"/>
      <c r="D72" s="94"/>
      <c r="E72" s="94"/>
      <c r="F72" s="94"/>
      <c r="G72" s="91"/>
      <c r="H72" s="91" t="s">
        <v>77</v>
      </c>
      <c r="I72" s="94"/>
      <c r="J72" s="94"/>
      <c r="K72" s="94"/>
      <c r="L72" s="94"/>
      <c r="M72" s="94"/>
      <c r="N72" s="94"/>
      <c r="O72" s="94"/>
      <c r="P72" s="94"/>
      <c r="Q72" s="95"/>
      <c r="R72" s="10"/>
      <c r="S72" s="2"/>
      <c r="T72" s="2"/>
      <c r="U72" s="2"/>
      <c r="V72" s="2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ht="6.75" customHeight="1">
      <c r="A73" s="93" t="s">
        <v>76</v>
      </c>
      <c r="B73" s="94"/>
      <c r="C73" s="94"/>
      <c r="D73" s="94"/>
      <c r="E73" s="94"/>
      <c r="F73" s="94"/>
      <c r="G73" s="91"/>
      <c r="H73" s="96"/>
      <c r="I73" s="94"/>
      <c r="J73" s="94"/>
      <c r="K73" s="94"/>
      <c r="L73" s="94"/>
      <c r="M73" s="94"/>
      <c r="N73" s="94"/>
      <c r="O73" s="94"/>
      <c r="P73" s="94"/>
      <c r="Q73" s="95"/>
      <c r="R73" s="10"/>
      <c r="S73" s="2"/>
      <c r="T73" s="2"/>
      <c r="U73" s="2"/>
      <c r="V73" s="2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ht="6.75" customHeight="1">
      <c r="A74" s="93" t="s">
        <v>78</v>
      </c>
      <c r="B74" s="94"/>
      <c r="C74" s="94"/>
      <c r="D74" s="94"/>
      <c r="E74" s="94"/>
      <c r="F74" s="94"/>
      <c r="G74" s="91"/>
      <c r="H74" s="91"/>
      <c r="I74" s="94"/>
      <c r="J74" s="94"/>
      <c r="K74" s="94"/>
      <c r="L74" s="94"/>
      <c r="M74" s="94"/>
      <c r="N74" s="94"/>
      <c r="O74" s="94"/>
      <c r="P74" s="94"/>
      <c r="Q74" s="95"/>
      <c r="R74" s="10"/>
      <c r="S74" s="2"/>
      <c r="T74" s="2"/>
      <c r="U74" s="2"/>
      <c r="V74" s="2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ht="0.75" customHeight="1">
      <c r="A75" s="41"/>
      <c r="B75" s="42"/>
      <c r="C75" s="42"/>
      <c r="D75" s="42"/>
      <c r="E75" s="42"/>
      <c r="F75" s="42"/>
      <c r="G75" s="43"/>
      <c r="H75" s="42"/>
      <c r="I75" s="42"/>
      <c r="J75" s="42"/>
      <c r="K75" s="42"/>
      <c r="L75" s="42"/>
      <c r="M75" s="42"/>
      <c r="N75" s="42"/>
      <c r="O75" s="42"/>
      <c r="P75" s="42"/>
      <c r="Q75" s="44"/>
      <c r="R75" s="45"/>
      <c r="S75" s="3"/>
      <c r="T75" s="3"/>
      <c r="U75" s="3"/>
      <c r="V75" s="3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8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8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ht="8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ht="8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ht="8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ht="8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ht="8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ht="9">
      <c r="A83" s="46"/>
      <c r="B83" s="109"/>
      <c r="C83" s="109"/>
      <c r="D83" s="109"/>
      <c r="E83" s="109"/>
      <c r="F83" s="109"/>
      <c r="G83" s="10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ht="8.25">
      <c r="A84" s="46"/>
      <c r="B84" s="47"/>
      <c r="C84" s="48"/>
      <c r="D84" s="49"/>
      <c r="E84" s="48"/>
      <c r="F84" s="48"/>
      <c r="G84" s="50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ht="8.25">
      <c r="A85" s="4"/>
      <c r="B85" s="51"/>
      <c r="C85" s="52"/>
      <c r="D85" s="53"/>
      <c r="E85" s="54"/>
      <c r="F85" s="54"/>
      <c r="G85" s="5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8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8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8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8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8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8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8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8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8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8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8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8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8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8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8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8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8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8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8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8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8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8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8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8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8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8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8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8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8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8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8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8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8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8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8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8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8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8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8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8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8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8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8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8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8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8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8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8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8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8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8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8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8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8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8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8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8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8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8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8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8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8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8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8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8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8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8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8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ht="8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ht="8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ht="8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ht="8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ht="8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8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ht="8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ht="8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ht="8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ht="8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ht="8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ht="8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ht="8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ht="8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ht="8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ht="8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ht="8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ht="8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ht="8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ht="8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ht="8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ht="8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ht="8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ht="8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ht="8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ht="8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ht="8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ht="8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ht="8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ht="8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ht="8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ht="8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ht="8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ht="8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ht="8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ht="8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ht="8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ht="8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ht="8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ht="8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ht="8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ht="8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ht="8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ht="8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ht="8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ht="8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ht="8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ht="8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ht="8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ht="8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ht="8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ht="8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ht="8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ht="8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ht="8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ht="8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ht="8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ht="8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ht="8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ht="8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ht="8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ht="8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ht="8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ht="8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ht="8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ht="8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ht="8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1:49" ht="8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1:49" ht="8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1:49" ht="8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1:49" ht="8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1:49" ht="8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1:49" ht="8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1:49" ht="8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1:49" ht="8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1:49" ht="8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1:49" ht="8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1:49" ht="8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1:49" ht="8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1:49" ht="8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1:49" ht="8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1:49" ht="8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1:49" ht="8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1:49" ht="8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1:49" ht="8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1:49" ht="8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1:49" ht="8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1:49" ht="8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1:49" ht="8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1:49" ht="8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1:49" ht="8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1:49" ht="8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1:49" ht="8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1:49" ht="8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1:49" ht="8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1:49" ht="8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1:49" ht="8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1:49" ht="8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1:49" ht="8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1:49" ht="8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1:49" ht="8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1:49" ht="8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1:49" ht="8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1:49" ht="8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1:49" ht="8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1:49" ht="8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1:49" ht="8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1:49" ht="8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1:49" ht="8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1:49" ht="8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1:49" ht="8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1:49" ht="8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1:49" ht="8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1:49" ht="8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1:49" ht="8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1:49" ht="8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1:49" ht="8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1:49" ht="8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1:49" ht="8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1:49" ht="8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1:49" ht="8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1:49" ht="8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1:49" ht="8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1:49" ht="8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1:49" ht="8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1:49" ht="8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1:49" ht="8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1:49" ht="8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1:49" ht="8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1:49" ht="8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1:49" ht="8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1:49" ht="8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1:49" ht="8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1:49" ht="8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1:49" ht="8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1:49" ht="8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1:49" ht="8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1:49" ht="8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1:49" ht="8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1:49" ht="8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1:49" ht="8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1:49" ht="8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1:49" ht="8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1:49" ht="8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1:49" ht="8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1:49" ht="8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1:49" ht="8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1:49" ht="8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1:49" ht="8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1:49" ht="8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1:49" ht="8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1:49" ht="8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1:49" ht="8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1:49" ht="8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  <row r="308" spans="1:49" ht="8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</row>
    <row r="309" spans="1:49" ht="8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</row>
    <row r="310" spans="1:49" ht="8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</row>
    <row r="311" spans="1:49" ht="8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</row>
    <row r="312" spans="1:49" ht="8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</row>
    <row r="313" spans="1:49" ht="8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</row>
    <row r="314" spans="1:49" ht="8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</row>
    <row r="315" spans="1:49" ht="8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</row>
    <row r="316" spans="1:49" ht="8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</row>
    <row r="317" spans="1:49" ht="8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</row>
    <row r="318" spans="1:49" ht="8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</row>
    <row r="319" spans="1:49" ht="8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</row>
    <row r="320" spans="1:49" ht="8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</row>
    <row r="321" spans="1:49" ht="8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</row>
    <row r="322" spans="1:49" ht="8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</row>
    <row r="323" spans="1:49" ht="8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</row>
    <row r="324" spans="1:49" ht="8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</row>
    <row r="325" spans="1:49" ht="8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</row>
    <row r="326" spans="1:49" ht="8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</row>
    <row r="327" spans="1:49" ht="8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</row>
    <row r="328" spans="1:49" ht="8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</row>
    <row r="329" spans="1:49" ht="8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</row>
    <row r="330" spans="1:49" ht="8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</row>
    <row r="331" spans="1:49" ht="8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</row>
    <row r="332" spans="1:49" ht="8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</row>
    <row r="333" spans="1:49" ht="8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</row>
    <row r="334" spans="1:49" ht="8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</row>
    <row r="335" spans="1:49" ht="8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</row>
    <row r="336" spans="1:49" ht="8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</row>
    <row r="337" spans="1:49" ht="8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</row>
    <row r="338" spans="1:49" ht="8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</row>
    <row r="339" spans="1:49" ht="8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</row>
    <row r="340" spans="1:49" ht="8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</row>
    <row r="341" spans="1:49" ht="8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</row>
    <row r="342" spans="1:49" ht="8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</row>
    <row r="343" spans="1:49" ht="8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</row>
    <row r="344" spans="1:49" ht="8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</row>
    <row r="345" spans="1:49" ht="8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</row>
    <row r="346" spans="1:49" ht="8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</row>
    <row r="347" spans="1:49" ht="8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</row>
    <row r="348" spans="1:49" ht="8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</row>
    <row r="349" spans="1:49" ht="8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</row>
    <row r="350" spans="1:49" ht="8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</row>
    <row r="351" spans="1:49" ht="8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</row>
    <row r="352" spans="1:49" ht="8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</row>
    <row r="353" spans="1:49" ht="8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</row>
    <row r="354" spans="1:49" ht="8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</row>
    <row r="355" spans="1:49" ht="8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</row>
    <row r="356" spans="1:49" ht="8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</row>
    <row r="357" spans="1:49" ht="8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</row>
    <row r="358" spans="1:49" ht="8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</row>
    <row r="359" spans="1:49" ht="8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</row>
    <row r="360" spans="1:49" ht="8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</row>
    <row r="361" spans="1:49" ht="8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</row>
    <row r="362" spans="1:49" ht="8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</row>
    <row r="363" spans="1:49" ht="8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</row>
    <row r="364" spans="1:49" ht="8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</row>
    <row r="365" spans="1:49" ht="8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</row>
    <row r="366" spans="1:49" ht="8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</row>
    <row r="367" spans="1:49" ht="8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</row>
    <row r="368" spans="1:49" ht="8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</row>
    <row r="369" spans="1:49" ht="8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</row>
    <row r="370" spans="1:49" ht="8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</row>
    <row r="371" spans="1:49" ht="8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</row>
    <row r="372" spans="1:49" ht="8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</row>
    <row r="373" spans="1:49" ht="8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</row>
    <row r="374" spans="1:49" ht="8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</row>
    <row r="375" spans="1:49" ht="8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</row>
    <row r="376" spans="1:49" ht="8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</row>
    <row r="377" spans="1:49" ht="8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</row>
    <row r="378" spans="1:49" ht="8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</row>
    <row r="379" spans="1:49" ht="8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</row>
    <row r="380" spans="1:49" ht="8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</row>
    <row r="381" spans="1:49" ht="8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</row>
    <row r="382" spans="1:49" ht="8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</row>
    <row r="383" spans="1:49" ht="8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</row>
    <row r="384" spans="1:49" ht="8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</row>
    <row r="385" spans="1:49" ht="8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</row>
    <row r="386" spans="1:49" ht="8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</row>
    <row r="387" spans="1:49" ht="8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</row>
    <row r="388" spans="1:49" ht="8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</row>
    <row r="389" spans="1:49" ht="8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</row>
    <row r="390" spans="1:49" ht="8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</row>
    <row r="391" spans="1:49" ht="8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</row>
    <row r="392" spans="1:49" ht="8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</row>
    <row r="393" spans="1:49" ht="8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</row>
    <row r="394" spans="1:49" ht="8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</row>
    <row r="395" spans="1:49" ht="8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</row>
    <row r="396" spans="1:49" ht="8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</row>
    <row r="397" spans="1:49" ht="8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</row>
    <row r="398" spans="1:49" ht="8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</row>
    <row r="399" spans="1:49" ht="8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</row>
    <row r="400" spans="1:49" ht="8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</row>
    <row r="401" spans="1:49" ht="8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</row>
    <row r="402" spans="1:49" ht="8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</row>
    <row r="403" spans="1:49" ht="8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</row>
    <row r="404" spans="1:49" ht="8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</row>
    <row r="405" spans="1:49" ht="8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</row>
    <row r="406" spans="1:49" ht="8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</row>
    <row r="407" spans="1:49" ht="8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</row>
    <row r="408" spans="1:49" ht="8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</row>
    <row r="409" spans="1:49" ht="8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</row>
    <row r="410" spans="1:49" ht="8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</row>
    <row r="411" spans="1:49" ht="8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</row>
    <row r="412" spans="1:49" ht="8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</row>
    <row r="413" spans="1:49" ht="8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</row>
    <row r="414" spans="1:49" ht="8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</row>
    <row r="415" spans="1:49" ht="8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</row>
    <row r="416" spans="1:49" ht="8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</row>
    <row r="417" spans="1:49" ht="8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</row>
    <row r="418" spans="1:49" ht="8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</row>
    <row r="419" spans="1:49" ht="8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</row>
    <row r="420" spans="1:49" ht="8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</row>
    <row r="421" spans="1:49" ht="8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</row>
    <row r="422" spans="1:49" ht="8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</row>
    <row r="423" spans="1:49" ht="8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</row>
    <row r="424" spans="1:49" ht="8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</row>
    <row r="425" spans="1:49" ht="8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</row>
    <row r="426" spans="1:49" ht="8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</row>
    <row r="427" spans="1:49" ht="8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</row>
    <row r="428" spans="1:49" ht="8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</row>
    <row r="429" spans="1:49" ht="8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</row>
    <row r="430" spans="1:49" ht="8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</row>
    <row r="431" spans="1:49" ht="8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</row>
    <row r="432" spans="1:49" ht="8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</row>
    <row r="433" spans="1:49" ht="8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</row>
    <row r="434" spans="1:49" ht="8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</row>
    <row r="435" spans="1:49" ht="8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</row>
    <row r="436" spans="1:49" ht="8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</row>
    <row r="437" spans="1:49" ht="8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</row>
    <row r="438" spans="1:49" ht="8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</row>
    <row r="439" spans="1:49" ht="8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</row>
    <row r="440" spans="1:49" ht="8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</row>
    <row r="441" spans="1:49" ht="8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</row>
    <row r="442" spans="1:49" ht="8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</row>
    <row r="443" spans="1:49" ht="8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</row>
    <row r="444" spans="1:49" ht="8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</row>
    <row r="445" spans="1:49" ht="8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</row>
    <row r="446" spans="1:49" ht="8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</row>
    <row r="447" spans="1:49" ht="8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</row>
    <row r="448" spans="1:49" ht="8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</row>
    <row r="449" spans="1:49" ht="8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</row>
    <row r="450" spans="1:49" ht="8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</row>
    <row r="451" spans="1:49" ht="8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</row>
    <row r="452" spans="1:49" ht="8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</row>
    <row r="453" spans="1:49" ht="8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</row>
    <row r="454" spans="1:49" ht="8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</row>
    <row r="455" spans="1:49" ht="8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</row>
    <row r="456" spans="1:49" ht="8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</row>
    <row r="457" spans="1:49" ht="8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</row>
    <row r="458" spans="1:49" ht="8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</row>
    <row r="459" spans="1:49" ht="8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</row>
    <row r="460" spans="1:49" ht="8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</row>
    <row r="461" spans="1:49" ht="8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</row>
    <row r="462" spans="1:49" ht="8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</row>
    <row r="463" spans="1:49" ht="8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</row>
    <row r="464" spans="1:49" ht="8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</row>
    <row r="465" spans="1:49" ht="8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</row>
    <row r="466" spans="1:49" ht="8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</row>
    <row r="467" spans="1:49" ht="8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</row>
    <row r="468" spans="1:49" ht="8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</row>
    <row r="469" spans="1:49" ht="8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</row>
    <row r="470" spans="1:49" ht="8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</row>
    <row r="471" spans="1:49" ht="8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</row>
    <row r="472" spans="1:49" ht="8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</row>
    <row r="473" spans="1:49" ht="8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</row>
    <row r="474" spans="1:49" ht="8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</row>
    <row r="475" spans="1:49" ht="8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</row>
    <row r="476" spans="1:49" ht="8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</row>
    <row r="477" spans="1:49" ht="8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</row>
    <row r="478" spans="1:49" ht="8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</row>
    <row r="479" spans="1:49" ht="8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</row>
    <row r="480" spans="1:49" ht="8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</row>
    <row r="481" spans="1:49" ht="8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</row>
    <row r="482" spans="1:49" ht="8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</row>
    <row r="483" spans="1:49" ht="8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</row>
    <row r="484" spans="1:49" ht="8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</row>
    <row r="485" spans="1:49" ht="8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</row>
    <row r="486" spans="1:49" ht="8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</row>
    <row r="487" spans="1:49" ht="8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</row>
    <row r="488" spans="1:49" ht="8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</row>
    <row r="489" spans="1:49" ht="8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</row>
    <row r="490" spans="1:49" ht="8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</row>
    <row r="491" spans="1:49" ht="8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</row>
    <row r="492" spans="1:49" ht="8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</row>
    <row r="493" spans="1:49" ht="8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</row>
    <row r="494" spans="1:49" ht="8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</row>
    <row r="495" spans="1:49" ht="8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</row>
    <row r="496" spans="1:49" ht="8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</row>
    <row r="497" spans="1:49" ht="8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</row>
    <row r="498" spans="1:49" ht="8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</row>
    <row r="499" spans="1:49" ht="8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</row>
    <row r="500" spans="1:49" ht="8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</row>
    <row r="501" spans="1:49" ht="8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</row>
    <row r="502" spans="1:49" ht="8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</row>
    <row r="503" spans="1:49" ht="8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</row>
    <row r="504" spans="1:49" ht="8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</row>
    <row r="505" spans="1:49" ht="8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</row>
    <row r="506" spans="1:49" ht="8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</row>
    <row r="507" spans="1:49" ht="8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</row>
    <row r="508" spans="1:49" ht="8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</row>
    <row r="509" spans="1:49" ht="8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</row>
    <row r="510" spans="1:49" ht="8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</row>
    <row r="511" spans="1:49" ht="8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</row>
    <row r="512" spans="1:49" ht="8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</row>
    <row r="513" spans="1:49" ht="8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</row>
    <row r="514" spans="1:49" ht="8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</row>
    <row r="515" spans="1:49" ht="8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</row>
    <row r="516" spans="1:49" ht="8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</row>
    <row r="517" spans="1:49" ht="8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</row>
    <row r="518" spans="1:49" ht="8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</row>
    <row r="519" spans="1:49" ht="8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</row>
    <row r="520" spans="1:49" ht="8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</row>
    <row r="521" spans="1:49" ht="8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</row>
    <row r="522" spans="1:49" ht="8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</row>
    <row r="523" spans="1:49" ht="8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</row>
    <row r="524" spans="1:49" ht="8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</row>
    <row r="525" spans="1:49" ht="8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</row>
    <row r="526" spans="1:49" ht="8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</row>
    <row r="527" spans="1:49" ht="8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</row>
    <row r="528" spans="1:49" ht="8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</row>
    <row r="529" spans="1:49" ht="8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</row>
    <row r="530" spans="1:49" ht="8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</row>
    <row r="531" spans="1:49" ht="8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</row>
    <row r="532" spans="1:49" ht="8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</row>
    <row r="533" spans="1:49" ht="8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</row>
    <row r="534" spans="1:49" ht="8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</row>
    <row r="535" spans="1:49" ht="8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</row>
    <row r="536" spans="1:49" ht="8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</row>
    <row r="537" spans="1:49" ht="8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</row>
    <row r="538" spans="1:49" ht="8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</row>
    <row r="539" spans="1:49" ht="8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</row>
    <row r="540" spans="1:49" ht="8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</row>
    <row r="541" spans="1:49" ht="8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</row>
    <row r="542" spans="1:49" ht="8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</row>
    <row r="543" spans="1:49" ht="8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</row>
    <row r="544" spans="1:49" ht="8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</row>
    <row r="545" spans="1:49" ht="8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</row>
    <row r="546" spans="1:49" ht="8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</row>
    <row r="547" spans="1:49" ht="8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</row>
    <row r="548" spans="1:49" ht="8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</row>
    <row r="549" spans="1:49" ht="8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</row>
    <row r="550" spans="1:49" ht="8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</row>
    <row r="551" spans="1:49" ht="8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</row>
    <row r="552" spans="1:49" ht="8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</row>
    <row r="553" spans="1:49" ht="8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</row>
    <row r="554" spans="1:49" ht="8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</row>
    <row r="555" spans="1:49" ht="8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</row>
    <row r="556" spans="1:49" ht="8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</row>
    <row r="557" spans="1:49" ht="8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</row>
    <row r="558" spans="1:49" ht="8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</row>
    <row r="559" spans="1:49" ht="8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</row>
    <row r="560" spans="1:49" ht="8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</row>
    <row r="561" spans="1:49" ht="8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</row>
    <row r="562" spans="1:49" ht="8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</row>
    <row r="563" spans="1:49" ht="8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</row>
    <row r="564" spans="1:49" ht="8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</row>
    <row r="565" spans="1:49" ht="8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</row>
    <row r="566" spans="1:49" ht="8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</row>
    <row r="567" spans="1:49" ht="8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</row>
    <row r="568" spans="1:49" ht="8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</row>
    <row r="569" spans="1:49" ht="8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</row>
    <row r="570" spans="1:49" ht="8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</row>
    <row r="571" spans="1:49" ht="8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</row>
    <row r="572" spans="1:49" ht="8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</row>
    <row r="573" spans="1:49" ht="8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</row>
    <row r="574" spans="1:49" ht="8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</row>
    <row r="575" spans="1:49" ht="8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</row>
    <row r="576" spans="1:49" ht="8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</row>
    <row r="577" spans="1:49" ht="8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</row>
    <row r="578" spans="1:49" ht="8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</row>
    <row r="579" spans="1:49" ht="8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</row>
    <row r="580" spans="1:49" ht="8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</row>
    <row r="581" spans="1:49" ht="8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</row>
    <row r="582" spans="1:49" ht="8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</row>
    <row r="583" spans="1:49" ht="8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</row>
    <row r="584" spans="1:49" ht="8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</row>
    <row r="585" spans="1:49" ht="8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1:49" ht="8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</row>
    <row r="587" spans="1:49" ht="8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</row>
    <row r="588" spans="1:49" ht="8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</row>
    <row r="589" spans="1:49" ht="8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</row>
    <row r="590" spans="1:49" ht="8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</row>
    <row r="591" spans="1:49" ht="8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</row>
    <row r="592" spans="1:49" ht="8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</row>
    <row r="593" spans="1:49" ht="8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</row>
    <row r="594" spans="1:49" ht="8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</row>
    <row r="595" spans="1:49" ht="8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</row>
    <row r="596" spans="1:49" ht="8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</row>
    <row r="597" spans="1:49" ht="8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</row>
    <row r="598" spans="1:49" ht="8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</row>
    <row r="599" spans="1:49" ht="8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</row>
    <row r="600" spans="1:49" ht="8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</row>
    <row r="601" spans="1:49" ht="8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</row>
    <row r="602" spans="1:49" ht="8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</row>
    <row r="603" spans="1:49" ht="8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</row>
    <row r="604" spans="1:49" ht="8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</row>
    <row r="605" spans="1:49" ht="8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</row>
    <row r="606" spans="1:49" ht="8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</row>
    <row r="607" spans="1:49" ht="8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</row>
    <row r="608" spans="1:49" ht="8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</row>
    <row r="609" spans="1:49" ht="8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</row>
    <row r="610" spans="1:49" ht="8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</row>
    <row r="611" spans="1:49" ht="8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</row>
    <row r="612" spans="1:49" ht="8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</row>
    <row r="613" spans="1:49" ht="8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</row>
    <row r="614" spans="1:49" ht="8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</row>
    <row r="615" spans="1:49" ht="8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</row>
    <row r="616" spans="1:49" ht="8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</row>
    <row r="617" spans="1:49" ht="8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</row>
    <row r="618" spans="1:49" ht="8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</row>
    <row r="619" spans="1:49" ht="8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</row>
    <row r="620" spans="1:49" ht="8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</row>
    <row r="621" spans="1:49" ht="8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</row>
    <row r="622" spans="1:49" ht="8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</row>
    <row r="623" spans="1:49" ht="8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</row>
    <row r="624" spans="1:49" ht="8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</row>
    <row r="625" spans="1:49" ht="8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</row>
    <row r="626" spans="1:49" ht="8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</row>
    <row r="627" spans="1:49" ht="8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</row>
    <row r="628" spans="1:49" ht="8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</row>
    <row r="629" spans="1:49" ht="8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</row>
    <row r="630" spans="1:49" ht="8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</row>
    <row r="631" spans="1:49" ht="8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</row>
    <row r="632" spans="1:49" ht="8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</row>
    <row r="633" spans="1:49" ht="8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</row>
    <row r="634" spans="1:49" ht="8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</row>
    <row r="635" spans="1:49" ht="8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</row>
    <row r="636" spans="1:49" ht="8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</row>
    <row r="637" spans="1:49" ht="8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</row>
    <row r="638" spans="1:49" ht="8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</row>
    <row r="639" spans="1:49" ht="8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</row>
    <row r="640" spans="1:49" ht="8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</row>
    <row r="641" spans="1:49" ht="8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</row>
    <row r="642" spans="1:49" ht="8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</row>
    <row r="643" spans="1:49" ht="8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</row>
    <row r="644" spans="1:49" ht="8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</row>
    <row r="645" spans="1:49" ht="8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</row>
    <row r="646" spans="1:49" ht="8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</row>
    <row r="647" spans="1:49" ht="8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</row>
    <row r="648" spans="1:49" ht="8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</row>
    <row r="649" spans="1:49" ht="8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</row>
    <row r="650" spans="1:49" ht="8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</row>
    <row r="651" spans="1:49" ht="8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</row>
    <row r="652" spans="1:49" ht="8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</row>
    <row r="653" spans="1:49" ht="8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</row>
    <row r="654" spans="1:49" ht="8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</row>
    <row r="655" spans="1:49" ht="8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</row>
    <row r="656" spans="1:49" ht="8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</row>
    <row r="657" spans="1:49" ht="8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1:49" ht="8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</row>
    <row r="659" spans="1:49" ht="8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</row>
    <row r="660" spans="1:49" ht="8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</row>
    <row r="661" spans="1:49" ht="8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</row>
    <row r="662" spans="1:49" ht="8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</row>
    <row r="663" spans="1:49" ht="8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</row>
    <row r="664" spans="1:49" ht="8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</row>
    <row r="665" spans="1:49" ht="8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</row>
    <row r="666" spans="1:49" ht="8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</row>
    <row r="667" spans="1:49" ht="8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</row>
    <row r="668" spans="1:49" ht="8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</row>
    <row r="669" spans="1:49" ht="8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</row>
    <row r="670" spans="1:49" ht="8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</row>
    <row r="671" spans="1:49" ht="8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</row>
    <row r="672" spans="1:49" ht="8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</row>
    <row r="673" spans="1:49" ht="8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</row>
    <row r="674" spans="1:49" ht="8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1:49" ht="8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1:49" ht="8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1:49" ht="8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1:49" ht="8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1:49" ht="8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</row>
    <row r="680" spans="1:49" ht="8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</row>
    <row r="681" spans="1:49" ht="8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</row>
    <row r="682" spans="1:49" ht="8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</row>
    <row r="683" spans="1:49" ht="8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</row>
    <row r="684" spans="1:49" ht="8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</row>
    <row r="685" spans="1:49" ht="8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</row>
    <row r="686" spans="1:49" ht="8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</row>
    <row r="687" spans="1:49" ht="8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</row>
    <row r="688" spans="1:49" ht="8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</row>
    <row r="689" spans="1:49" ht="8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</row>
    <row r="690" spans="1:49" ht="8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</row>
    <row r="691" spans="1:49" ht="8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</row>
    <row r="692" spans="1:49" ht="8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</row>
    <row r="693" spans="1:49" ht="8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</row>
    <row r="694" spans="1:49" ht="8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</row>
    <row r="695" spans="1:49" ht="8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</row>
    <row r="696" spans="1:49" ht="8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</row>
    <row r="697" spans="1:49" ht="8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</row>
    <row r="698" spans="1:49" ht="8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</row>
    <row r="699" spans="1:49" ht="8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</row>
    <row r="700" spans="1:49" ht="8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</row>
    <row r="701" spans="1:49" ht="8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</row>
    <row r="702" spans="1:49" ht="8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</row>
    <row r="703" spans="1:49" ht="8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</row>
    <row r="704" spans="1:49" ht="8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</row>
    <row r="705" spans="1:49" ht="8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</row>
    <row r="706" spans="1:49" ht="8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</row>
    <row r="707" spans="1:49" ht="8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</row>
    <row r="708" spans="1:49" ht="8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</row>
    <row r="709" spans="1:49" ht="8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</row>
    <row r="710" spans="1:49" ht="8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</row>
    <row r="711" spans="1:49" ht="8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</row>
    <row r="712" spans="1:49" ht="8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</row>
    <row r="713" spans="1:49" ht="8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</row>
    <row r="714" spans="1:49" ht="8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</row>
    <row r="715" spans="1:49" ht="8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</row>
    <row r="716" spans="1:49" ht="8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</row>
    <row r="717" spans="1:49" ht="8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</row>
    <row r="718" spans="1:49" ht="8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</row>
    <row r="719" spans="1:49" ht="8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</row>
    <row r="720" spans="1:49" ht="8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</row>
    <row r="721" spans="1:49" ht="8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</row>
    <row r="722" spans="1:49" ht="8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</row>
    <row r="723" spans="1:49" ht="8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</row>
    <row r="724" spans="1:49" ht="8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</row>
    <row r="725" spans="1:49" ht="8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</row>
    <row r="726" spans="1:49" ht="8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</row>
    <row r="727" spans="1:49" ht="8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</row>
    <row r="728" spans="1:49" ht="8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</row>
    <row r="729" spans="1:49" ht="8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</row>
    <row r="730" spans="1:49" ht="8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</row>
    <row r="731" spans="1:49" ht="8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</row>
    <row r="732" spans="1:49" ht="8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</row>
    <row r="733" spans="1:49" ht="8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</row>
    <row r="734" spans="1:49" ht="8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</row>
    <row r="735" spans="1:49" ht="8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</row>
    <row r="736" spans="1:49" ht="8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</row>
    <row r="737" spans="1:49" ht="8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</row>
    <row r="738" spans="1:49" ht="8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</row>
    <row r="739" spans="1:49" ht="8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</row>
    <row r="740" spans="1:49" ht="8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</row>
    <row r="741" spans="1:49" ht="8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</row>
    <row r="742" spans="1:49" ht="8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</row>
    <row r="743" spans="1:49" ht="8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</row>
    <row r="744" spans="1:49" ht="8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</row>
    <row r="745" spans="1:49" ht="8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</row>
    <row r="746" spans="1:49" ht="8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</row>
    <row r="747" spans="1:49" ht="8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</row>
    <row r="748" spans="1:49" ht="8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</row>
    <row r="749" spans="1:49" ht="8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</row>
    <row r="750" spans="1:49" ht="8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</row>
    <row r="751" spans="1:49" ht="8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</row>
    <row r="752" spans="1:49" ht="8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</row>
    <row r="753" spans="1:49" ht="8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</row>
    <row r="754" spans="1:49" ht="8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</row>
    <row r="755" spans="1:49" ht="8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</row>
    <row r="756" spans="1:49" ht="8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</row>
    <row r="757" spans="1:49" ht="8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</row>
    <row r="758" spans="1:49" ht="8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</row>
    <row r="759" spans="1:49" ht="8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</row>
    <row r="760" spans="1:49" ht="8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</row>
    <row r="761" spans="1:49" ht="8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</row>
    <row r="762" spans="1:49" ht="8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</row>
    <row r="763" spans="1:49" ht="8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</row>
    <row r="764" spans="1:49" ht="8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</row>
    <row r="765" spans="1:49" ht="8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</row>
    <row r="766" spans="1:49" ht="8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</row>
    <row r="767" spans="1:49" ht="8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</row>
    <row r="768" spans="1:49" ht="8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</row>
    <row r="769" spans="1:49" ht="8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</row>
    <row r="770" spans="1:49" ht="8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</row>
    <row r="771" spans="1:49" ht="8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</row>
    <row r="772" spans="1:49" ht="8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</row>
    <row r="773" spans="1:49" ht="8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</row>
    <row r="774" spans="1:49" ht="8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</row>
    <row r="775" spans="1:49" ht="8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</row>
    <row r="776" spans="1:49" ht="8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</row>
    <row r="777" spans="1:49" ht="8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</row>
    <row r="778" spans="1:49" ht="8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</row>
    <row r="779" spans="1:49" ht="8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</row>
    <row r="780" spans="1:49" ht="8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</row>
    <row r="781" spans="1:49" ht="8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</row>
    <row r="782" spans="1:49" ht="8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</row>
    <row r="783" spans="1:49" ht="8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</row>
    <row r="784" spans="1:49" ht="8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</row>
    <row r="785" spans="1:49" ht="8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</row>
    <row r="786" spans="1:49" ht="8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</row>
    <row r="787" spans="1:49" ht="8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</row>
    <row r="788" spans="1:49" ht="8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</row>
    <row r="789" spans="1:49" ht="8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</row>
    <row r="790" spans="1:49" ht="8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</row>
    <row r="791" spans="1:49" ht="8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</row>
    <row r="792" spans="1:49" ht="8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</row>
    <row r="793" spans="1:49" ht="8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</row>
    <row r="794" spans="1:49" ht="8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</row>
    <row r="795" spans="1:49" ht="8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</row>
    <row r="796" spans="1:49" ht="8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</row>
    <row r="797" spans="1:49" ht="8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</row>
    <row r="798" spans="1:49" ht="8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</row>
    <row r="799" spans="1:49" ht="8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</row>
    <row r="800" spans="1:49" ht="8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</row>
    <row r="801" spans="1:49" ht="8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</row>
    <row r="802" spans="1:49" ht="8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</row>
    <row r="803" spans="1:49" ht="8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</row>
    <row r="804" spans="1:49" ht="8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</row>
    <row r="805" spans="1:49" ht="8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</row>
    <row r="806" spans="1:49" ht="8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</row>
    <row r="807" spans="1:49" ht="8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</row>
    <row r="808" spans="1:49" ht="8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</row>
    <row r="809" spans="1:49" ht="8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</row>
    <row r="810" spans="1:49" ht="8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</row>
    <row r="811" spans="1:49" ht="8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</row>
    <row r="812" spans="1:49" ht="8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</row>
    <row r="813" spans="1:49" ht="8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</row>
    <row r="814" spans="1:49" ht="8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</row>
    <row r="815" spans="1:49" ht="8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</row>
    <row r="816" spans="1:49" ht="8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</row>
    <row r="817" spans="1:49" ht="8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</row>
    <row r="818" spans="1:49" ht="8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</row>
    <row r="819" spans="1:49" ht="8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</row>
    <row r="820" spans="1:49" ht="8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</row>
    <row r="821" spans="1:49" ht="8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</row>
    <row r="822" spans="1:49" ht="8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</row>
    <row r="823" spans="1:49" ht="8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</row>
    <row r="824" spans="1:49" ht="8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</row>
    <row r="825" spans="1:49" ht="8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</row>
    <row r="826" spans="1:49" ht="8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</row>
    <row r="827" spans="1:49" ht="8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</row>
    <row r="828" spans="1:49" ht="8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</row>
    <row r="829" spans="1:49" ht="8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</row>
    <row r="830" spans="1:49" ht="8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</row>
    <row r="831" spans="1:49" ht="8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</row>
    <row r="832" spans="1:49" ht="8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</row>
    <row r="833" spans="1:49" ht="8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</row>
    <row r="834" spans="1:49" ht="8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</row>
    <row r="835" spans="1:49" ht="8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</row>
    <row r="836" spans="1:49" ht="8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</row>
    <row r="837" spans="1:49" ht="8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</row>
    <row r="838" spans="1:49" ht="8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</row>
    <row r="839" spans="1:49" ht="8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</row>
    <row r="840" spans="1:49" ht="8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</row>
    <row r="841" spans="1:49" ht="8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</row>
    <row r="842" spans="1:49" ht="8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</row>
    <row r="843" spans="1:49" ht="8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</row>
    <row r="844" spans="1:49" ht="8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</row>
    <row r="845" spans="1:49" ht="8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</row>
    <row r="846" spans="1:49" ht="8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</row>
    <row r="847" spans="1:49" ht="8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</row>
    <row r="848" spans="1:49" ht="8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</row>
    <row r="849" spans="1:49" ht="8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</row>
    <row r="850" spans="1:49" ht="8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</row>
    <row r="851" spans="1:49" ht="8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</row>
    <row r="852" spans="1:49" ht="8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</row>
    <row r="853" spans="1:49" ht="8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</row>
    <row r="854" spans="1:49" ht="8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</row>
    <row r="855" spans="1:49" ht="8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</row>
    <row r="856" spans="1:49" ht="8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</row>
    <row r="857" spans="1:49" ht="8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</row>
    <row r="858" spans="1:49" ht="8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</row>
    <row r="859" spans="1:49" ht="8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</row>
    <row r="860" spans="1:49" ht="8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</row>
    <row r="861" spans="1:49" ht="8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</row>
    <row r="862" spans="1:49" ht="8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</row>
    <row r="863" spans="1:49" ht="8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</row>
    <row r="864" spans="1:49" ht="8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</row>
    <row r="865" spans="1:49" ht="8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</row>
    <row r="866" spans="1:49" ht="8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</row>
    <row r="867" spans="1:49" ht="8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</row>
    <row r="868" spans="1:49" ht="8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</row>
    <row r="869" spans="1:49" ht="8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</row>
    <row r="870" spans="1:49" ht="8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</row>
    <row r="871" spans="1:49" ht="8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</row>
    <row r="872" spans="1:49" ht="8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</row>
    <row r="873" spans="1:49" ht="8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</row>
    <row r="874" spans="1:49" ht="8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</row>
    <row r="875" spans="1:49" ht="8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</row>
    <row r="876" spans="1:49" ht="8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</row>
    <row r="877" spans="1:49" ht="8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</row>
    <row r="878" spans="1:49" ht="8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</row>
    <row r="879" spans="1:49" ht="8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</row>
    <row r="880" spans="1:49" ht="8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</row>
    <row r="881" spans="1:49" ht="8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</row>
    <row r="882" spans="1:49" ht="8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</row>
    <row r="883" spans="1:49" ht="8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</row>
    <row r="884" spans="1:49" ht="8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</row>
    <row r="885" spans="1:49" ht="8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</row>
    <row r="886" spans="1:49" ht="8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</row>
    <row r="887" spans="1:49" ht="8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</row>
    <row r="888" spans="1:49" ht="8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</row>
    <row r="889" spans="1:49" ht="8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</row>
    <row r="890" spans="1:49" ht="8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</row>
    <row r="891" spans="1:49" ht="8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</row>
    <row r="892" spans="1:49" ht="8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</row>
    <row r="893" spans="1:49" ht="8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</row>
    <row r="894" spans="1:49" ht="8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</row>
    <row r="895" spans="1:49" ht="8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</row>
    <row r="896" spans="1:49" ht="8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</row>
    <row r="897" spans="1:49" ht="8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</row>
    <row r="898" spans="1:49" ht="8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</row>
    <row r="899" spans="1:49" ht="8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</row>
    <row r="900" spans="1:49" ht="8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</row>
    <row r="901" spans="1:49" ht="8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</row>
    <row r="902" spans="1:49" ht="8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</row>
    <row r="903" spans="1:49" ht="8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</row>
    <row r="904" spans="1:49" ht="8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</row>
    <row r="905" spans="1:49" ht="8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</row>
    <row r="906" spans="1:49" ht="8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</row>
    <row r="907" spans="1:49" ht="8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</row>
    <row r="908" spans="1:49" ht="8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</row>
    <row r="909" spans="1:49" ht="8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</row>
    <row r="910" spans="1:49" ht="8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</row>
    <row r="911" spans="1:49" ht="8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</row>
    <row r="912" spans="1:49" ht="8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</row>
    <row r="913" spans="1:49" ht="8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</row>
    <row r="914" spans="1:49" ht="8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</row>
    <row r="915" spans="1:49" ht="8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</row>
    <row r="916" spans="1:49" ht="8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</row>
    <row r="917" spans="1:49" ht="8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</row>
    <row r="918" spans="1:49" ht="8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</row>
    <row r="919" spans="1:49" ht="8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</row>
    <row r="920" spans="1:49" ht="8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</row>
    <row r="921" spans="1:49" ht="8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</row>
    <row r="922" spans="1:49" ht="8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</row>
    <row r="923" spans="1:49" ht="8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</row>
    <row r="924" spans="1:49" ht="8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</row>
    <row r="925" spans="1:49" ht="8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</row>
    <row r="926" spans="1:49" ht="8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</row>
    <row r="927" spans="1:49" ht="8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</row>
    <row r="928" spans="1:49" ht="8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</row>
    <row r="929" spans="1:49" ht="8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</row>
    <row r="930" spans="1:49" ht="8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</row>
    <row r="931" spans="1:49" ht="8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</row>
    <row r="932" spans="1:49" ht="8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</row>
    <row r="933" spans="1:49" ht="8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</row>
    <row r="934" spans="1:49" ht="8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</row>
    <row r="935" spans="1:49" ht="8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</row>
    <row r="936" spans="1:49" ht="8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</row>
    <row r="937" spans="1:49" ht="8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</row>
    <row r="938" spans="1:49" ht="8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</row>
    <row r="939" spans="1:49" ht="8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</row>
    <row r="940" spans="1:49" ht="8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</row>
    <row r="941" spans="1:49" ht="8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</row>
    <row r="942" spans="1:49" ht="8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</row>
    <row r="943" spans="1:49" ht="8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</row>
    <row r="944" spans="1:49" ht="8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</row>
    <row r="945" spans="1:49" ht="8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</row>
    <row r="946" spans="1:49" ht="8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</row>
    <row r="947" spans="1:49" ht="8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</row>
    <row r="948" spans="1:49" ht="8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</row>
    <row r="949" spans="1:49" ht="8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</row>
    <row r="950" spans="1:49" ht="8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</row>
    <row r="951" spans="1:49" ht="8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</row>
    <row r="952" spans="1:49" ht="8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</row>
    <row r="953" spans="1:49" ht="8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</row>
    <row r="954" spans="1:49" ht="8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</row>
    <row r="955" spans="1:49" ht="8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</row>
    <row r="956" spans="1:49" ht="8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</row>
    <row r="957" spans="1:49" ht="8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</row>
    <row r="958" spans="1:49" ht="8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</row>
    <row r="959" spans="1:49" ht="8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</row>
    <row r="960" spans="1:49" ht="8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</row>
    <row r="961" spans="1:49" ht="8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</row>
    <row r="962" spans="1:49" ht="8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</row>
    <row r="963" spans="1:49" ht="8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</row>
    <row r="964" spans="1:49" ht="8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</row>
    <row r="965" spans="1:49" ht="8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</row>
    <row r="966" spans="1:49" ht="8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</row>
    <row r="967" spans="1:49" ht="8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</row>
    <row r="968" spans="1:49" ht="8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</row>
    <row r="969" spans="1:49" ht="8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</row>
    <row r="970" spans="1:49" ht="8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</row>
    <row r="971" spans="1:49" ht="8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</row>
    <row r="972" spans="1:49" ht="8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</row>
    <row r="973" spans="1:49" ht="8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</row>
    <row r="974" spans="1:49" ht="8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</row>
    <row r="975" spans="1:49" ht="8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</row>
    <row r="976" spans="1:49" ht="8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</row>
    <row r="977" spans="1:49" ht="8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</row>
    <row r="978" spans="1:49" ht="8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</row>
    <row r="979" spans="1:49" ht="8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</row>
    <row r="980" spans="1:49" ht="8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</row>
    <row r="981" spans="1:49" ht="8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</row>
    <row r="982" spans="1:49" ht="8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</row>
    <row r="983" spans="1:49" ht="8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</row>
    <row r="984" spans="1:49" ht="8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</row>
    <row r="985" spans="1:49" ht="8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</row>
    <row r="986" spans="1:49" ht="8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</row>
    <row r="987" spans="1:49" ht="8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</row>
    <row r="988" spans="1:49" ht="8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</row>
    <row r="989" spans="1:49" ht="8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</row>
    <row r="990" spans="1:49" ht="8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</row>
    <row r="991" spans="1:49" ht="8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</row>
    <row r="992" spans="1:49" ht="8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</row>
    <row r="993" spans="1:49" ht="8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</row>
    <row r="994" spans="1:49" ht="8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</row>
    <row r="995" spans="1:49" ht="8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</row>
    <row r="996" spans="1:49" ht="8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</row>
    <row r="997" spans="1:49" ht="8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</row>
    <row r="998" spans="1:49" ht="8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</row>
    <row r="999" spans="1:49" ht="8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</row>
    <row r="1000" spans="1:49" ht="8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</row>
    <row r="1001" spans="1:49" ht="8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</row>
    <row r="1002" spans="1:49" ht="8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</row>
    <row r="1003" spans="1:49" ht="8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</row>
    <row r="1004" spans="1:49" ht="8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</row>
    <row r="1005" spans="1:49" ht="8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</row>
    <row r="1006" spans="1:49" ht="8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</row>
    <row r="1007" spans="1:49" ht="8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</row>
    <row r="1008" spans="1:49" ht="8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</row>
    <row r="1009" spans="1:49" ht="8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</row>
    <row r="1010" spans="1:49" ht="8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</row>
    <row r="1011" spans="1:49" ht="8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</row>
    <row r="1012" spans="1:49" ht="8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</row>
    <row r="1013" spans="1:49" ht="8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</row>
    <row r="1014" spans="1:49" ht="8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</row>
    <row r="1015" spans="1:49" ht="8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</row>
    <row r="1016" spans="1:49" ht="8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</row>
    <row r="1017" spans="1:49" ht="8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</row>
    <row r="1018" spans="1:49" ht="8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</row>
    <row r="1019" spans="1:49" ht="8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</row>
    <row r="1020" spans="1:49" ht="8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</row>
    <row r="1021" spans="1:49" ht="8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</row>
    <row r="1022" spans="1:49" ht="8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</row>
    <row r="1023" spans="1:49" ht="8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</row>
    <row r="1024" spans="1:49" ht="8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</row>
    <row r="1025" spans="1:49" ht="8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</row>
    <row r="1026" spans="1:49" ht="8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</row>
    <row r="1027" spans="1:49" ht="8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</row>
    <row r="1028" spans="1:49" ht="8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</row>
    <row r="1029" spans="1:49" ht="8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</row>
    <row r="1030" spans="1:49" ht="8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</row>
    <row r="1031" spans="1:49" ht="8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</row>
    <row r="1032" spans="1:49" ht="8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</row>
    <row r="1033" spans="1:49" ht="8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</row>
    <row r="1034" spans="1:49" ht="8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</row>
    <row r="1035" spans="1:49" ht="8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</row>
    <row r="1036" spans="1:49" ht="8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</row>
    <row r="1037" spans="1:49" ht="8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</row>
    <row r="1038" spans="1:49" ht="8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</row>
    <row r="1039" spans="1:49" ht="8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</row>
    <row r="1040" spans="1:49" ht="8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</row>
    <row r="1041" spans="1:49" ht="8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</row>
    <row r="1042" spans="1:49" ht="8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</row>
    <row r="1043" spans="1:49" ht="8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</row>
    <row r="1044" spans="1:49" ht="8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</row>
    <row r="1045" spans="1:49" ht="8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</row>
    <row r="1046" spans="1:49" ht="8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</row>
    <row r="1047" spans="1:49" ht="8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</row>
    <row r="1048" spans="1:49" ht="8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</row>
    <row r="1049" spans="1:49" ht="8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</row>
    <row r="1050" spans="1:49" ht="8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</row>
    <row r="1051" spans="1:49" ht="8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</row>
    <row r="1052" spans="1:49" ht="8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</row>
    <row r="1053" spans="1:49" ht="8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</row>
    <row r="1054" spans="1:49" ht="8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</row>
    <row r="1055" spans="1:49" ht="8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</row>
    <row r="1056" spans="1:49" ht="8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</row>
    <row r="1057" spans="1:49" ht="8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</row>
    <row r="1058" spans="1:49" ht="8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</row>
    <row r="1059" spans="1:49" ht="8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</row>
    <row r="1060" spans="1:49" ht="8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</row>
    <row r="1061" spans="1:49" ht="8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</row>
    <row r="1062" spans="1:49" ht="8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</row>
    <row r="1063" spans="1:49" ht="8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</row>
    <row r="1064" spans="1:49" ht="8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</row>
    <row r="1065" spans="1:49" ht="8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</row>
    <row r="1066" spans="1:49" ht="8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</row>
    <row r="1067" spans="1:49" ht="8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</row>
    <row r="1068" spans="1:49" ht="8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</row>
    <row r="1069" spans="1:49" ht="8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</row>
    <row r="1070" spans="1:49" ht="8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</row>
    <row r="1071" spans="1:49" ht="8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</row>
    <row r="1072" spans="1:49" ht="8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</row>
    <row r="1073" spans="1:49" ht="8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</row>
    <row r="1074" spans="1:49" ht="8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</row>
    <row r="1075" spans="1:49" ht="8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</row>
    <row r="1076" spans="1:49" ht="8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</row>
    <row r="1077" spans="1:49" ht="8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</row>
    <row r="1078" spans="1:49" ht="8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</row>
    <row r="1079" spans="1:49" ht="8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</row>
    <row r="1080" spans="1:49" ht="8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</row>
    <row r="1081" spans="1:49" ht="8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</row>
    <row r="1082" spans="1:49" ht="8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</row>
    <row r="1083" spans="1:49" ht="8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</row>
    <row r="1084" spans="1:49" ht="8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</row>
    <row r="1085" spans="1:49" ht="8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</row>
    <row r="1086" spans="1:49" ht="8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</row>
    <row r="1087" spans="1:49" ht="8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</row>
    <row r="1088" spans="1:49" ht="8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</row>
    <row r="1089" spans="1:49" ht="8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</row>
    <row r="1090" spans="1:49" ht="8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</row>
    <row r="1091" spans="1:49" ht="8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</row>
    <row r="1092" spans="1:49" ht="8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</row>
    <row r="1093" spans="1:49" ht="8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</row>
    <row r="1094" spans="1:49" ht="8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</row>
    <row r="1095" spans="1:49" ht="8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</row>
    <row r="1096" spans="1:49" ht="8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</row>
    <row r="1097" spans="1:49" ht="8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</row>
    <row r="1098" spans="1:49" ht="8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</row>
    <row r="1099" spans="1:49" ht="8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</row>
    <row r="1100" spans="1:49" ht="8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</row>
    <row r="1101" spans="1:49" ht="8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</row>
    <row r="1102" spans="1:49" ht="8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</row>
    <row r="1103" spans="1:49" ht="8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</row>
    <row r="1104" spans="1:49" ht="8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</row>
    <row r="1105" spans="1:49" ht="8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</row>
    <row r="1106" spans="1:49" ht="8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</row>
    <row r="1107" spans="1:49" ht="8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</row>
    <row r="1108" spans="1:49" ht="8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</row>
    <row r="1109" spans="1:49" ht="8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</row>
    <row r="1110" spans="1:49" ht="8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</row>
    <row r="1111" spans="1:49" ht="8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</row>
    <row r="1112" spans="1:49" ht="8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</row>
    <row r="1113" spans="1:49" ht="8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</row>
    <row r="1114" spans="1:49" ht="8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</row>
    <row r="1115" spans="1:49" ht="8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</row>
    <row r="1116" spans="1:49" ht="8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</row>
    <row r="1117" spans="1:49" ht="8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</row>
    <row r="1118" spans="1:49" ht="8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</row>
    <row r="1119" spans="1:49" ht="8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</row>
    <row r="1120" spans="1:49" ht="8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</row>
    <row r="1121" spans="1:49" ht="8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</row>
    <row r="1122" spans="1:49" ht="8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</row>
    <row r="1123" spans="1:49" ht="8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</row>
    <row r="1124" spans="1:49" ht="8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</row>
    <row r="1125" spans="1:49" ht="8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</row>
    <row r="1126" spans="1:49" ht="8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</row>
    <row r="1127" spans="1:49" ht="8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</row>
    <row r="1128" spans="1:49" ht="8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</row>
    <row r="1129" spans="1:49" ht="8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</row>
    <row r="1130" spans="1:49" ht="8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</row>
    <row r="1131" spans="1:49" ht="8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</row>
    <row r="1132" spans="1:49" ht="8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</row>
    <row r="1133" spans="1:49" ht="8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</row>
    <row r="1134" spans="1:49" ht="8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</row>
    <row r="1135" spans="1:49" ht="8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</row>
    <row r="1136" spans="1:49" ht="8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</row>
    <row r="1137" spans="1:49" ht="8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</row>
    <row r="1138" spans="1:49" ht="8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</row>
    <row r="1139" spans="1:49" ht="8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</row>
    <row r="1140" spans="1:49" ht="8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</row>
    <row r="1141" spans="1:49" ht="8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</row>
    <row r="1142" spans="1:49" ht="8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</row>
    <row r="1143" spans="1:49" ht="8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</row>
    <row r="1144" spans="1:49" ht="8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</row>
    <row r="1145" spans="1:49" ht="8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</row>
    <row r="1146" spans="1:49" ht="8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</row>
    <row r="1147" spans="1:49" ht="8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</row>
    <row r="1148" spans="1:49" ht="8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</row>
    <row r="1149" spans="1:49" ht="8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</row>
    <row r="1150" spans="1:49" ht="8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</row>
    <row r="1151" spans="1:49" ht="8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</row>
    <row r="1152" spans="1:49" ht="8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</row>
    <row r="1153" spans="1:49" ht="8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</row>
    <row r="1154" spans="1:49" ht="8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</row>
    <row r="1155" spans="1:49" ht="8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</row>
    <row r="1156" spans="1:49" ht="8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</row>
    <row r="1157" spans="1:49" ht="8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</row>
    <row r="1158" spans="1:49" ht="8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</row>
    <row r="1159" spans="1:49" ht="8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</row>
    <row r="1160" spans="1:49" ht="8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</row>
    <row r="1161" spans="1:49" ht="8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</row>
    <row r="1162" spans="1:49" ht="8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</row>
    <row r="1163" spans="1:49" ht="8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</row>
    <row r="1164" spans="1:49" ht="8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</row>
    <row r="1165" spans="1:49" ht="8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</row>
    <row r="1166" spans="1:49" ht="8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</row>
    <row r="1167" spans="1:49" ht="8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</row>
    <row r="1168" spans="1:49" ht="8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</row>
    <row r="1169" spans="1:49" ht="8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</row>
    <row r="1170" spans="1:49" ht="8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</row>
    <row r="1171" spans="1:49" ht="8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</row>
    <row r="1172" spans="1:49" ht="8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</row>
    <row r="1173" spans="1:49" ht="8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</row>
    <row r="1174" spans="1:49" ht="8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</row>
    <row r="1175" spans="1:49" ht="8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</row>
    <row r="1176" spans="1:49" ht="8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</row>
    <row r="1177" spans="1:49" ht="8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</row>
    <row r="1178" spans="1:49" ht="8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</row>
    <row r="1179" spans="1:49" ht="8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</row>
    <row r="1180" spans="1:49" ht="8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</row>
    <row r="1181" spans="1:49" ht="8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</row>
    <row r="1182" spans="1:49" ht="8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</row>
    <row r="1183" spans="1:49" ht="8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</row>
    <row r="1184" spans="1:49" ht="8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</row>
    <row r="1185" spans="1:49" ht="8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</row>
    <row r="1186" spans="1:49" ht="8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</row>
    <row r="1187" spans="1:49" ht="8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</row>
    <row r="1188" spans="1:49" ht="8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</row>
    <row r="1189" spans="1:49" ht="8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</row>
    <row r="1190" spans="1:49" ht="8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</row>
    <row r="1191" spans="1:49" ht="8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</row>
    <row r="1192" spans="1:49" ht="8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</row>
    <row r="1193" spans="1:49" ht="8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</row>
    <row r="1194" spans="1:49" ht="8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</row>
    <row r="1195" spans="1:49" ht="8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</row>
    <row r="1196" spans="1:49" ht="8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</row>
    <row r="1197" spans="1:49" ht="8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</row>
    <row r="1198" spans="1:49" ht="8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</row>
    <row r="1199" spans="1:49" ht="8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</row>
    <row r="1200" spans="1:49" ht="8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</row>
    <row r="1201" spans="1:49" ht="8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</row>
    <row r="1202" spans="1:49" ht="8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</row>
    <row r="1203" spans="1:49" ht="8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</row>
    <row r="1204" spans="1:49" ht="8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</row>
    <row r="1205" spans="1:49" ht="8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</row>
    <row r="1206" spans="1:49" ht="8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</row>
    <row r="1207" spans="1:49" ht="8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</row>
    <row r="1208" spans="1:49" ht="8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</row>
    <row r="1209" spans="1:49" ht="8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</row>
    <row r="1210" spans="1:49" ht="8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</row>
    <row r="1211" spans="1:49" ht="8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</row>
    <row r="1212" spans="1:49" ht="8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</row>
    <row r="1213" spans="1:49" ht="8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</row>
    <row r="1214" spans="1:49" ht="8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</row>
    <row r="1215" spans="1:49" ht="8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</row>
    <row r="1216" spans="1:49" ht="8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</row>
    <row r="1217" spans="1:49" ht="8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</row>
    <row r="1218" spans="1:49" ht="8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</row>
    <row r="1219" spans="1:49" ht="8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</row>
    <row r="1220" spans="1:49" ht="8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</row>
    <row r="1221" spans="1:49" ht="8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</row>
    <row r="1222" spans="1:49" ht="8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</row>
    <row r="1223" spans="1:49" ht="8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</row>
    <row r="1224" spans="1:49" ht="8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</row>
    <row r="1225" spans="1:49" ht="8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</row>
    <row r="1226" spans="1:49" ht="8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</row>
    <row r="1227" spans="1:49" ht="8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</row>
    <row r="1228" spans="1:49" ht="8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</row>
    <row r="1229" spans="1:49" ht="8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</row>
    <row r="1230" spans="1:49" ht="8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</row>
    <row r="1231" spans="1:49" ht="8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</row>
    <row r="1232" spans="1:49" ht="8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</row>
    <row r="1233" spans="1:49" ht="8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</row>
    <row r="1234" spans="1:49" ht="8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</row>
    <row r="1235" spans="1:49" ht="8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</row>
    <row r="1236" spans="1:49" ht="8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</row>
    <row r="1237" spans="1:49" ht="8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</row>
    <row r="1238" spans="1:49" ht="8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</row>
    <row r="1239" spans="1:49" ht="8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</row>
    <row r="1240" spans="1:49" ht="8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</row>
    <row r="1241" spans="1:49" ht="8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</row>
    <row r="1242" spans="1:49" ht="8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</row>
    <row r="1243" spans="1:49" ht="8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</row>
    <row r="1244" spans="1:49" ht="8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</row>
    <row r="1245" spans="1:49" ht="8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</row>
    <row r="1246" spans="1:49" ht="8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</row>
    <row r="1247" spans="1:49" ht="8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</row>
    <row r="1248" spans="1:49" ht="8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</row>
    <row r="1249" spans="1:49" ht="8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</row>
    <row r="1250" spans="1:49" ht="8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</row>
    <row r="1251" spans="1:49" ht="8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</row>
    <row r="1252" spans="1:49" ht="8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</row>
    <row r="1253" spans="1:49" ht="8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</row>
    <row r="1254" spans="1:49" ht="8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</row>
    <row r="1255" spans="1:49" ht="8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</row>
    <row r="1256" spans="1:49" ht="8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</row>
    <row r="1257" spans="1:49" ht="8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</row>
    <row r="1258" spans="1:49" ht="8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</row>
    <row r="1259" spans="1:49" ht="8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</row>
    <row r="1260" spans="1:49" ht="8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</row>
    <row r="1261" spans="1:49" ht="8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</row>
    <row r="1262" spans="1:49" ht="8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</row>
    <row r="1263" spans="1:49" ht="8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</row>
    <row r="1264" spans="1:49" ht="8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</row>
    <row r="1265" spans="1:49" ht="8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</row>
    <row r="1266" spans="1:49" ht="8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</row>
    <row r="1267" spans="1:49" ht="8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</row>
    <row r="1268" spans="1:49" ht="8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</row>
    <row r="1269" spans="1:49" ht="8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</row>
    <row r="1270" spans="1:49" ht="8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</row>
    <row r="1271" spans="1:49" ht="8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</row>
    <row r="1272" spans="1:49" ht="8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</row>
    <row r="1273" spans="1:49" ht="8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</row>
    <row r="1274" spans="1:49" ht="8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</row>
    <row r="1275" spans="1:49" ht="8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</row>
    <row r="1276" spans="1:49" ht="8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</row>
    <row r="1277" spans="1:49" ht="8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</row>
    <row r="1278" spans="1:49" ht="8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</row>
    <row r="1279" spans="1:49" ht="8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</row>
    <row r="1280" spans="1:49" ht="8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</row>
    <row r="1281" spans="1:49" ht="8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</row>
    <row r="1282" spans="1:49" ht="8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</row>
    <row r="1283" spans="1:49" ht="8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</row>
    <row r="1284" spans="1:49" ht="8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</row>
    <row r="1285" spans="1:49" ht="8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</row>
    <row r="1286" spans="1:49" ht="8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</row>
    <row r="1287" spans="1:49" ht="8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</row>
    <row r="1288" spans="1:49" ht="8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</row>
    <row r="1289" spans="1:49" ht="8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</row>
    <row r="1290" spans="1:49" ht="8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</row>
    <row r="1291" spans="1:49" ht="8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</row>
    <row r="1292" spans="1:49" ht="8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</row>
    <row r="1293" spans="1:49" ht="8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</row>
    <row r="1294" spans="1:49" ht="8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</row>
    <row r="1295" spans="1:49" ht="8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</row>
    <row r="1296" spans="1:49" ht="8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</row>
    <row r="1297" spans="1:49" ht="8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</row>
    <row r="1298" spans="1:49" ht="8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</row>
    <row r="1299" spans="1:49" ht="8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</row>
    <row r="1300" spans="1:49" ht="8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</row>
    <row r="1301" spans="1:49" ht="8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</row>
    <row r="1302" spans="1:49" ht="8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</row>
    <row r="1303" spans="1:49" ht="8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</row>
    <row r="1304" spans="1:49" ht="8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</row>
    <row r="1305" spans="1:49" ht="8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</row>
    <row r="1306" spans="1:49" ht="8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</row>
    <row r="1307" spans="1:49" ht="8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</row>
    <row r="1308" spans="1:49" ht="8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</row>
    <row r="1309" spans="1:49" ht="8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</row>
    <row r="1310" spans="1:49" ht="8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</row>
    <row r="1311" spans="1:49" ht="8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</row>
    <row r="1312" spans="1:49" ht="8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</row>
    <row r="1313" spans="1:49" ht="8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</row>
    <row r="1314" spans="1:49" ht="8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</row>
    <row r="1315" spans="1:49" ht="8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</row>
    <row r="1316" spans="1:49" ht="8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</row>
    <row r="1317" spans="1:49" ht="8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</row>
    <row r="1318" spans="1:49" ht="8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</row>
    <row r="1319" spans="1:49" ht="8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</row>
    <row r="1320" spans="1:49" ht="8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</row>
    <row r="1321" spans="1:49" ht="8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</row>
    <row r="1322" spans="1:49" ht="8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</row>
    <row r="1323" spans="1:49" ht="8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</row>
    <row r="1324" spans="1:49" ht="8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</row>
    <row r="1325" spans="1:49" ht="8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</row>
    <row r="1326" spans="1:49" ht="8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</row>
    <row r="1327" spans="1:49" ht="8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</row>
    <row r="1328" spans="1:49" ht="8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</row>
    <row r="1329" spans="1:49" ht="8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</row>
    <row r="1330" spans="1:49" ht="8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</row>
    <row r="1331" spans="1:49" ht="8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</row>
    <row r="1332" spans="1:49" ht="8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</row>
    <row r="1333" spans="1:49" ht="8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</row>
    <row r="1334" spans="1:49" ht="8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</row>
    <row r="1335" spans="1:49" ht="8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</row>
    <row r="1336" spans="1:49" ht="8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</row>
    <row r="1337" spans="1:49" ht="8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</row>
    <row r="1338" spans="1:49" ht="8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</row>
    <row r="1339" spans="1:49" ht="8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</row>
    <row r="1340" spans="1:49" ht="8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</row>
    <row r="1341" spans="1:49" ht="8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</row>
    <row r="1342" spans="1:49" ht="8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</row>
    <row r="1343" spans="1:49" ht="8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</row>
    <row r="1344" spans="1:49" ht="8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</row>
    <row r="1345" spans="1:49" ht="8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</row>
    <row r="1346" spans="1:49" ht="8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</row>
    <row r="1347" spans="1:49" ht="8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</row>
    <row r="1348" spans="1:49" ht="8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</row>
    <row r="1349" spans="1:49" ht="8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</row>
    <row r="1350" spans="1:49" ht="8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</row>
    <row r="1351" spans="1:49" ht="8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</row>
    <row r="1352" spans="1:49" ht="8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</row>
    <row r="1353" spans="1:49" ht="8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</row>
    <row r="1354" spans="1:49" ht="8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</row>
    <row r="1355" spans="1:49" ht="8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</row>
    <row r="1356" spans="1:49" ht="8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</row>
    <row r="1357" spans="1:49" ht="8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</row>
    <row r="1358" spans="1:49" ht="8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</row>
    <row r="1359" spans="1:49" ht="8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</row>
    <row r="1360" spans="1:49" ht="8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</row>
    <row r="1361" spans="1:49" ht="8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</row>
    <row r="1362" spans="1:49" ht="8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</row>
    <row r="1363" spans="1:49" ht="8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</row>
    <row r="1364" spans="1:49" ht="8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</row>
    <row r="1365" spans="1:49" ht="8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</row>
    <row r="1366" spans="1:49" ht="8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</row>
    <row r="1367" spans="1:49" ht="8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</row>
    <row r="1368" spans="1:49" ht="8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</row>
    <row r="1369" spans="1:49" ht="8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</row>
    <row r="1370" spans="1:49" ht="8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</row>
    <row r="1371" spans="1:49" ht="8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</row>
    <row r="1372" spans="1:49" ht="8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</row>
    <row r="1373" spans="1:49" ht="8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</row>
    <row r="1374" spans="1:49" ht="8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</row>
    <row r="1375" spans="1:49" ht="8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</row>
    <row r="1376" spans="1:49" ht="8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</row>
    <row r="1377" spans="1:49" ht="8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</row>
    <row r="1378" spans="1:49" ht="8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</row>
    <row r="1379" spans="1:49" ht="8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</row>
    <row r="1380" spans="1:49" ht="8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</row>
    <row r="1381" spans="1:49" ht="8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</row>
    <row r="1382" spans="1:49" ht="8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</row>
    <row r="1383" spans="1:49" ht="8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</row>
    <row r="1384" spans="1:49" ht="8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</row>
    <row r="1385" spans="1:49" ht="8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</row>
    <row r="1386" spans="1:49" ht="8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</row>
    <row r="1387" spans="1:49" ht="8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</row>
    <row r="1388" spans="1:49" ht="8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</row>
    <row r="1389" spans="1:49" ht="8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</row>
    <row r="1390" spans="1:49" ht="8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</row>
    <row r="1391" spans="1:49" ht="8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</row>
    <row r="1392" spans="1:49" ht="8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</row>
    <row r="1393" spans="1:49" ht="8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</row>
    <row r="1394" spans="1:49" ht="8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</row>
    <row r="1395" spans="1:49" ht="8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</row>
    <row r="1396" spans="1:49" ht="8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</row>
    <row r="1397" spans="1:49" ht="8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</row>
    <row r="1398" spans="1:49" ht="8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</row>
    <row r="1399" spans="1:49" ht="8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</row>
    <row r="1400" spans="1:49" ht="8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</row>
    <row r="1401" spans="1:49" ht="8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</row>
    <row r="1402" spans="1:49" ht="8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</row>
    <row r="1403" spans="1:49" ht="8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</row>
    <row r="1404" spans="1:49" ht="8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</row>
    <row r="1405" spans="1:49" ht="8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</row>
    <row r="1406" spans="1:49" ht="8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</row>
    <row r="1407" spans="1:49" ht="8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</row>
    <row r="1408" spans="1:49" ht="8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</row>
    <row r="1409" spans="1:49" ht="8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</row>
    <row r="1410" spans="1:49" ht="8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</row>
    <row r="1411" spans="1:49" ht="8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</row>
    <row r="1412" spans="1:49" ht="8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</row>
    <row r="1413" spans="1:49" ht="8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</row>
    <row r="1414" spans="1:49" ht="8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</row>
    <row r="1415" spans="1:49" ht="8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</row>
    <row r="1416" spans="1:49" ht="8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</row>
    <row r="1417" spans="1:49" ht="8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</row>
    <row r="1418" spans="1:49" ht="8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</row>
    <row r="1419" spans="1:49" ht="8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</row>
    <row r="1420" spans="1:49" ht="8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</row>
    <row r="1421" spans="1:49" ht="8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</row>
    <row r="1422" spans="1:49" ht="8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</row>
    <row r="1423" spans="1:49" ht="8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</row>
    <row r="1424" spans="1:49" ht="8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</row>
    <row r="1425" spans="1:49" ht="8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</row>
    <row r="1426" spans="1:49" ht="8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</row>
    <row r="1427" spans="1:49" ht="8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</row>
    <row r="1428" spans="1:49" ht="8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</row>
    <row r="1429" spans="1:49" ht="8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</row>
    <row r="1430" spans="1:49" ht="8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</row>
    <row r="1431" spans="1:49" ht="8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</row>
    <row r="1432" spans="1:49" ht="8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</row>
    <row r="1433" spans="1:49" ht="8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</row>
    <row r="1434" spans="1:49" ht="8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</row>
    <row r="1435" spans="1:49" ht="8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</row>
    <row r="1436" spans="1:49" ht="8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</row>
    <row r="1437" spans="1:49" ht="8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</row>
    <row r="1438" spans="1:49" ht="8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</row>
    <row r="1439" spans="1:49" ht="8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</row>
    <row r="1440" spans="1:49" ht="8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</row>
    <row r="1441" spans="1:49" ht="8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</row>
    <row r="1442" spans="1:49" ht="8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</row>
    <row r="1443" spans="1:49" ht="8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</row>
    <row r="1444" spans="1:49" ht="8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</row>
    <row r="1445" spans="1:49" ht="8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</row>
    <row r="1446" spans="1:49" ht="8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</row>
    <row r="1447" spans="1:49" ht="8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</row>
    <row r="1448" spans="1:49" ht="8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</row>
    <row r="1449" spans="1:49" ht="8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</row>
    <row r="1450" spans="1:49" ht="8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</row>
    <row r="1451" spans="1:49" ht="8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</row>
    <row r="1452" spans="1:49" ht="8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</row>
    <row r="1453" spans="1:49" ht="8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</row>
    <row r="1454" spans="1:49" ht="8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</row>
    <row r="1455" spans="1:49" ht="8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</row>
    <row r="1456" spans="1:49" ht="8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</row>
    <row r="1457" spans="1:49" ht="8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</row>
    <row r="1458" spans="1:49" ht="8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</row>
    <row r="1459" spans="1:49" ht="8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</row>
    <row r="1460" spans="1:49" ht="8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</row>
    <row r="1461" spans="1:49" ht="8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</row>
    <row r="1462" spans="1:49" ht="8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</row>
    <row r="1463" spans="1:49" ht="8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</row>
    <row r="1464" spans="1:49" ht="8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</row>
    <row r="1465" spans="1:49" ht="8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</row>
    <row r="1466" spans="1:49" ht="8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</row>
    <row r="1467" spans="1:49" ht="8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</row>
    <row r="1468" spans="1:49" ht="8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</row>
    <row r="1469" spans="1:49" ht="8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</row>
    <row r="1470" spans="1:49" ht="8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</row>
    <row r="1471" spans="1:49" ht="8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</row>
    <row r="1472" spans="1:49" ht="8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</row>
    <row r="1473" spans="1:49" ht="8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</row>
    <row r="1474" spans="1:49" ht="8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</row>
    <row r="1475" spans="1:49" ht="8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</row>
    <row r="1476" spans="1:49" ht="8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</row>
    <row r="1477" spans="1:49" ht="8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</row>
    <row r="1478" spans="1:49" ht="8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</row>
    <row r="1479" spans="1:49" ht="8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</row>
    <row r="1480" spans="1:49" ht="8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</row>
    <row r="1481" spans="1:49" ht="8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</row>
    <row r="1482" spans="1:49" ht="8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</row>
    <row r="1483" spans="1:49" ht="8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</row>
    <row r="1484" spans="1:49" ht="8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</row>
    <row r="1485" spans="1:49" ht="8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</row>
    <row r="1486" spans="1:49" ht="8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</row>
    <row r="1487" spans="1:49" ht="8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</row>
    <row r="1488" spans="1:49" ht="8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</row>
    <row r="1489" spans="1:49" ht="8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</row>
    <row r="1490" spans="1:49" ht="8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</row>
    <row r="1491" spans="1:49" ht="8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</row>
    <row r="1492" spans="1:49" ht="8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</row>
    <row r="1493" spans="1:49" ht="8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</row>
    <row r="1494" spans="1:49" ht="8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</row>
    <row r="1495" spans="1:49" ht="8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</row>
    <row r="1496" spans="1:49" ht="8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</row>
    <row r="1497" spans="1:49" ht="8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</row>
    <row r="1498" spans="1:49" ht="8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</row>
    <row r="1499" spans="1:49" ht="8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</row>
    <row r="1500" spans="1:49" ht="8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</row>
    <row r="1501" spans="1:49" ht="8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</row>
    <row r="1502" spans="1:49" ht="8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</row>
    <row r="1503" spans="1:49" ht="8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</row>
    <row r="1504" spans="1:49" ht="8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</row>
    <row r="1505" spans="1:49" ht="8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</row>
    <row r="1506" spans="1:49" ht="8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</row>
    <row r="1507" spans="1:49" ht="8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</row>
    <row r="1508" spans="1:49" ht="8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</row>
    <row r="1509" spans="1:49" ht="8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</row>
    <row r="1510" spans="1:49" ht="8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</row>
    <row r="1511" spans="1:49" ht="8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</row>
    <row r="1512" spans="1:49" ht="8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</row>
    <row r="1513" spans="1:49" ht="8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</row>
    <row r="1514" spans="1:49" ht="8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</row>
    <row r="1515" spans="1:49" ht="8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</row>
    <row r="1516" spans="1:49" ht="8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</row>
    <row r="1517" spans="1:49" ht="8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</row>
    <row r="1518" spans="1:49" ht="8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</row>
    <row r="1519" spans="1:49" ht="8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</row>
    <row r="1520" spans="1:49" ht="8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</row>
    <row r="1521" spans="1:49" ht="8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</row>
    <row r="1522" spans="1:49" ht="8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</row>
    <row r="1523" spans="1:49" ht="8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</row>
    <row r="1524" spans="1:49" ht="8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</row>
    <row r="1525" spans="1:49" ht="8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</row>
    <row r="1526" spans="1:49" ht="8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</row>
    <row r="1527" spans="1:49" ht="8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</row>
    <row r="1528" spans="1:49" ht="8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</row>
    <row r="1529" spans="1:49" ht="8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</row>
    <row r="1530" spans="1:49" ht="8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</row>
    <row r="1531" spans="1:49" ht="8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</row>
    <row r="1532" spans="1:49" ht="8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</row>
    <row r="1533" spans="1:49" ht="8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</row>
    <row r="1534" spans="1:49" ht="8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</row>
    <row r="1535" spans="1:49" ht="8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</row>
    <row r="1536" spans="1:49" ht="8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</row>
    <row r="1537" spans="1:49" ht="8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</row>
    <row r="1538" spans="1:49" ht="8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</row>
    <row r="1539" spans="1:49" ht="8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</row>
    <row r="1540" spans="1:49" ht="8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</row>
    <row r="1541" spans="1:49" ht="8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</row>
    <row r="1542" spans="1:49" ht="8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</row>
    <row r="1543" spans="1:49" ht="8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</row>
    <row r="1544" spans="1:49" ht="8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</row>
    <row r="1545" spans="1:49" ht="8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</row>
    <row r="1546" spans="1:49" ht="8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</row>
    <row r="1547" spans="1:49" ht="8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</row>
    <row r="1548" spans="1:49" ht="8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</row>
    <row r="1549" spans="1:49" ht="8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</row>
    <row r="1550" spans="1:49" ht="8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</row>
    <row r="1551" spans="1:49" ht="8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</row>
    <row r="1552" spans="1:49" ht="8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</row>
    <row r="1553" spans="1:49" ht="8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</row>
    <row r="1554" spans="1:49" ht="8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</row>
    <row r="1555" spans="1:49" ht="8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</row>
    <row r="1556" spans="1:49" ht="8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</row>
    <row r="1557" spans="1:49" ht="8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</row>
    <row r="1558" spans="1:49" ht="8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</row>
    <row r="1559" spans="1:49" ht="8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</row>
    <row r="1560" spans="1:49" ht="8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</row>
    <row r="1561" spans="1:49" ht="8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</row>
    <row r="1562" spans="1:49" ht="8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</row>
    <row r="1563" spans="1:49" ht="8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</row>
    <row r="1564" spans="1:49" ht="8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</row>
    <row r="1565" spans="1:49" ht="8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</row>
    <row r="1566" spans="1:49" ht="8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</row>
    <row r="1567" spans="1:49" ht="8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</row>
    <row r="1568" spans="1:49" ht="8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</row>
    <row r="1569" spans="1:49" ht="8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</row>
    <row r="1570" spans="1:49" ht="8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</row>
    <row r="1571" spans="1:49" ht="8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</row>
    <row r="1572" spans="1:49" ht="8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</row>
    <row r="1573" spans="1:49" ht="8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</row>
    <row r="1574" spans="1:49" ht="8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</row>
    <row r="1575" spans="1:49" ht="8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</row>
    <row r="1576" spans="1:49" ht="8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</row>
    <row r="1577" spans="1:49" ht="8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</row>
    <row r="1578" spans="1:49" ht="8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</row>
    <row r="1579" spans="1:49" ht="8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</row>
    <row r="1580" spans="1:49" ht="8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</row>
    <row r="1581" spans="1:49" ht="8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</row>
    <row r="1582" spans="1:49" ht="8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</row>
    <row r="1583" spans="1:49" ht="8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</row>
    <row r="1584" spans="1:49" ht="8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</row>
    <row r="1585" spans="1:49" ht="8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</row>
    <row r="1586" spans="1:49" ht="8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</row>
    <row r="1587" spans="1:49" ht="8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</row>
    <row r="1588" spans="1:49" ht="8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</row>
    <row r="1589" spans="1:49" ht="8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</row>
    <row r="1590" spans="1:49" ht="8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</row>
    <row r="1591" spans="1:49" ht="8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</row>
    <row r="1592" spans="1:49" ht="8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</row>
    <row r="1593" spans="1:49" ht="8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</row>
    <row r="1594" spans="1:49" ht="8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</row>
    <row r="1595" spans="1:49" ht="8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</row>
    <row r="1596" spans="1:49" ht="8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</row>
    <row r="1597" spans="1:49" ht="8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</row>
    <row r="1598" spans="1:49" ht="8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</row>
    <row r="1599" spans="1:49" ht="8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</row>
    <row r="1600" spans="1:49" ht="8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</row>
    <row r="1601" spans="1:49" ht="8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</row>
    <row r="1602" spans="1:49" ht="8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</row>
    <row r="1603" spans="1:49" ht="8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</row>
    <row r="1604" spans="1:49" ht="8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</row>
    <row r="1605" spans="1:49" ht="8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</row>
    <row r="1606" spans="1:49" ht="8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</row>
    <row r="1607" spans="1:49" ht="8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</row>
    <row r="1608" spans="1:49" ht="8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</row>
    <row r="1609" spans="1:49" ht="8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</row>
    <row r="1610" spans="1:49" ht="8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</row>
    <row r="1611" spans="1:49" ht="8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</row>
    <row r="1612" spans="1:49" ht="8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</row>
    <row r="1613" spans="1:49" ht="8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</row>
    <row r="1614" spans="1:49" ht="8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</row>
    <row r="1615" spans="1:49" ht="8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</row>
    <row r="1616" spans="1:49" ht="8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</row>
    <row r="1617" spans="1:49" ht="8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</row>
    <row r="1618" spans="1:49" ht="8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</row>
    <row r="1619" spans="1:49" ht="8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</row>
    <row r="1620" spans="1:49" ht="8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</row>
    <row r="1621" spans="1:49" ht="8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</row>
    <row r="1622" spans="1:49" ht="8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</row>
    <row r="1623" spans="1:49" ht="8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</row>
    <row r="1624" spans="1:49" ht="8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</row>
    <row r="1625" spans="1:49" ht="8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</row>
    <row r="1626" spans="1:49" ht="8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</row>
    <row r="1627" spans="1:49" ht="8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</row>
    <row r="1628" spans="1:49" ht="8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</row>
    <row r="1629" spans="1:49" ht="8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</row>
    <row r="1630" spans="1:49" ht="8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</row>
    <row r="1631" spans="1:49" ht="8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</row>
    <row r="1632" spans="1:49" ht="8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</row>
    <row r="1633" spans="1:49" ht="8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</row>
    <row r="1634" spans="1:49" ht="8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</row>
    <row r="1635" spans="1:49" ht="8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</row>
    <row r="1636" spans="1:49" ht="8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</row>
    <row r="1637" spans="1:49" ht="8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</row>
    <row r="1638" spans="1:49" ht="8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</row>
    <row r="1639" spans="1:49" ht="8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</row>
    <row r="1640" spans="1:49" ht="8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</row>
    <row r="1641" spans="1:49" ht="8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</row>
    <row r="1642" spans="1:49" ht="8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</row>
    <row r="1643" spans="1:49" ht="8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</row>
    <row r="1644" spans="1:49" ht="8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</row>
    <row r="1645" spans="1:49" ht="8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</row>
    <row r="1646" spans="1:49" ht="8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</row>
    <row r="1647" spans="1:49" ht="8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</row>
    <row r="1648" spans="1:49" ht="8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</row>
    <row r="1649" spans="1:49" ht="8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</row>
    <row r="1650" spans="1:49" ht="8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</row>
    <row r="1651" spans="1:49" ht="8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</row>
    <row r="1652" spans="1:49" ht="8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</row>
    <row r="1653" spans="1:49" ht="8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</row>
    <row r="1654" spans="1:49" ht="8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</row>
    <row r="1655" spans="1:49" ht="8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</row>
    <row r="1656" spans="1:49" ht="8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</row>
    <row r="1657" spans="1:49" ht="8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</row>
    <row r="1658" spans="1:49" ht="8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</row>
    <row r="1659" spans="1:49" ht="8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</row>
    <row r="1660" spans="1:49" ht="8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</row>
    <row r="1661" spans="1:49" ht="8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</row>
    <row r="1662" spans="1:49" ht="8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</row>
    <row r="1663" spans="1:49" ht="8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</row>
    <row r="1664" spans="1:49" ht="8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</row>
    <row r="1665" spans="1:49" ht="8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</row>
    <row r="1666" spans="1:49" ht="8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</row>
    <row r="1667" spans="1:49" ht="8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</row>
    <row r="1668" spans="1:49" ht="8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</row>
    <row r="1669" spans="1:49" ht="8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</row>
    <row r="1670" spans="1:49" ht="8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</row>
    <row r="1671" spans="1:49" ht="8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</row>
    <row r="1672" spans="1:49" ht="8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</row>
    <row r="1673" spans="1:49" ht="8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</row>
    <row r="1674" spans="1:49" ht="8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</row>
    <row r="1675" spans="1:49" ht="8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</row>
    <row r="1676" spans="1:49" ht="8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</row>
    <row r="1677" spans="1:49" ht="8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</row>
    <row r="1678" spans="1:49" ht="8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</row>
    <row r="1679" spans="1:49" ht="8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</row>
    <row r="1680" spans="1:49" ht="8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</row>
    <row r="1681" spans="1:49" ht="8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</row>
    <row r="1682" spans="1:49" ht="8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</row>
    <row r="1683" spans="1:49" ht="8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</row>
    <row r="1684" spans="1:49" ht="8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</row>
    <row r="1685" spans="1:49" ht="8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</row>
    <row r="1686" spans="1:49" ht="8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</row>
    <row r="1687" spans="1:49" ht="8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</row>
    <row r="1688" spans="1:49" ht="8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</row>
    <row r="1689" spans="1:49" ht="8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</row>
    <row r="1690" spans="1:49" ht="8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</row>
    <row r="1691" spans="1:49" ht="8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</row>
    <row r="1692" spans="1:49" ht="8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</row>
    <row r="1693" spans="1:49" ht="8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</row>
    <row r="1694" spans="1:49" ht="8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</row>
    <row r="1695" spans="1:49" ht="8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</row>
    <row r="1696" spans="1:49" ht="8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</row>
    <row r="1697" spans="1:49" ht="8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</row>
    <row r="1698" spans="1:49" ht="8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</row>
    <row r="1699" spans="1:49" ht="8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</row>
    <row r="1700" spans="1:49" ht="8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</row>
    <row r="1701" spans="1:49" ht="8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</row>
    <row r="1702" spans="1:49" ht="8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</row>
    <row r="1703" spans="1:49" ht="8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</row>
    <row r="1704" spans="1:49" ht="8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</row>
    <row r="1705" spans="1:49" ht="8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</row>
    <row r="1706" spans="1:49" ht="8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</row>
    <row r="1707" spans="1:49" ht="8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</row>
    <row r="1708" spans="1:49" ht="8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</row>
    <row r="1709" spans="1:49" ht="8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</row>
    <row r="1710" spans="1:49" ht="8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</row>
    <row r="1711" spans="1:49" ht="8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</row>
    <row r="1712" spans="1:49" ht="8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</row>
    <row r="1713" spans="1:49" ht="8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</row>
    <row r="1714" spans="1:49" ht="8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</row>
    <row r="1715" spans="1:49" ht="8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</row>
    <row r="1716" spans="1:49" ht="8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</row>
    <row r="1717" spans="1:49" ht="8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</row>
    <row r="1718" spans="1:49" ht="8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</row>
    <row r="1719" spans="1:49" ht="8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</row>
    <row r="1720" spans="1:49" ht="8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</row>
    <row r="1721" spans="1:49" ht="8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</row>
    <row r="1722" spans="1:49" ht="8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</row>
    <row r="1723" spans="1:49" ht="8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</row>
    <row r="1724" spans="1:49" ht="8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</row>
    <row r="1725" spans="1:49" ht="8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</row>
    <row r="1726" spans="1:49" ht="8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</row>
    <row r="1727" spans="1:49" ht="8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</row>
    <row r="1728" spans="1:49" ht="8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</row>
    <row r="1729" spans="1:49" ht="8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</row>
    <row r="1730" spans="1:49" ht="8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</row>
    <row r="1731" spans="1:49" ht="8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</row>
    <row r="1732" spans="1:49" ht="8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</row>
    <row r="1733" spans="1:49" ht="8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</row>
    <row r="1734" spans="1:49" ht="8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</row>
    <row r="1735" spans="1:49" ht="8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</row>
    <row r="1736" spans="1:49" ht="8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</row>
    <row r="1737" spans="1:49" ht="8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</row>
    <row r="1738" spans="1:49" ht="8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</row>
    <row r="1739" spans="1:49" ht="8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</row>
    <row r="1740" spans="1:49" ht="8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</row>
    <row r="1741" spans="1:49" ht="8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</row>
    <row r="1742" spans="1:49" ht="8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</row>
    <row r="1743" spans="1:49" ht="8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</row>
    <row r="1744" spans="1:49" ht="8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</row>
    <row r="1745" spans="1:49" ht="8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</row>
    <row r="1746" spans="1:49" ht="8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</row>
    <row r="1747" spans="1:49" ht="8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</row>
    <row r="1748" spans="1:49" ht="8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</row>
    <row r="1749" spans="1:49" ht="8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</row>
    <row r="1750" spans="1:49" ht="8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</row>
    <row r="1751" spans="1:49" ht="8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</row>
    <row r="1752" spans="1:49" ht="8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</row>
    <row r="1753" spans="1:49" ht="8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</row>
    <row r="1754" spans="1:49" ht="8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</row>
    <row r="1755" spans="1:49" ht="8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</row>
    <row r="1756" spans="1:49" ht="8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</row>
    <row r="1757" spans="1:49" ht="8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</row>
    <row r="1758" spans="1:49" ht="8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</row>
    <row r="1759" spans="1:49" ht="8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</row>
    <row r="1760" spans="1:49" ht="8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</row>
    <row r="1761" spans="1:49" ht="8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</row>
    <row r="1762" spans="1:49" ht="8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</row>
    <row r="1763" spans="1:49" ht="8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</row>
    <row r="1764" spans="1:49" ht="8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</row>
    <row r="1765" spans="1:49" ht="8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</row>
    <row r="1766" spans="1:49" ht="8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</row>
    <row r="1767" spans="1:49" ht="8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</row>
    <row r="1768" spans="1:49" ht="8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</row>
    <row r="1769" spans="1:49" ht="8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</row>
    <row r="1770" spans="1:49" ht="8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</row>
    <row r="1771" spans="1:49" ht="8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</row>
    <row r="1772" spans="1:49" ht="8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</row>
    <row r="1773" spans="1:49" ht="8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</row>
    <row r="1774" spans="1:49" ht="8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</row>
    <row r="1775" spans="1:49" ht="8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</row>
    <row r="1776" spans="1:49" ht="8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</row>
    <row r="1777" spans="1:49" ht="8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</row>
    <row r="1778" spans="1:49" ht="8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</row>
    <row r="1779" spans="1:49" ht="8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</row>
    <row r="1780" spans="1:49" ht="8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</row>
    <row r="1781" spans="1:49" ht="8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</row>
    <row r="1782" spans="1:49" ht="8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</row>
    <row r="1783" spans="1:49" ht="8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</row>
    <row r="1784" spans="1:49" ht="8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</row>
    <row r="1785" spans="1:49" ht="8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</row>
    <row r="1786" spans="1:49" ht="8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</row>
    <row r="1787" spans="1:49" ht="8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</row>
    <row r="1788" spans="1:49" ht="8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</row>
    <row r="1789" spans="1:49" ht="8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</row>
    <row r="1790" spans="1:49" ht="8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</row>
    <row r="1791" spans="1:49" ht="8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</row>
    <row r="1792" spans="1:49" ht="8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</row>
    <row r="1793" spans="1:49" ht="8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</row>
    <row r="1794" spans="1:49" ht="8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</row>
    <row r="1795" spans="1:49" ht="8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</row>
    <row r="1796" spans="1:49" ht="8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</row>
    <row r="1797" spans="1:49" ht="8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</row>
    <row r="1798" spans="1:49" ht="8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</row>
    <row r="1799" spans="1:49" ht="8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</row>
    <row r="1800" spans="1:49" ht="8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</row>
    <row r="1801" spans="1:49" ht="8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</row>
    <row r="1802" spans="1:49" ht="8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</row>
    <row r="1803" spans="1:49" ht="8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</row>
    <row r="1804" spans="1:49" ht="8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</row>
    <row r="1805" spans="1:49" ht="8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</row>
    <row r="1806" spans="1:49" ht="8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</row>
    <row r="1807" spans="1:49" ht="8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</row>
    <row r="1808" spans="1:49" ht="8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</row>
    <row r="1809" spans="1:49" ht="8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</row>
    <row r="1810" spans="1:49" ht="8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</row>
    <row r="1811" spans="1:49" ht="8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</row>
    <row r="1812" spans="1:49" ht="8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</row>
    <row r="1813" spans="1:49" ht="8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</row>
    <row r="1814" spans="1:49" ht="8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</row>
    <row r="1815" spans="1:49" ht="8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</row>
    <row r="1816" spans="1:49" ht="8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</row>
    <row r="1817" spans="1:49" ht="8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</row>
    <row r="1818" spans="1:49" ht="8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</row>
    <row r="1819" spans="1:49" ht="8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</row>
    <row r="1820" spans="1:49" ht="8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</row>
    <row r="1821" spans="1:49" ht="8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</row>
    <row r="1822" spans="1:49" ht="8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</row>
    <row r="1823" spans="1:49" ht="8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</row>
    <row r="1824" spans="1:49" ht="8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</row>
    <row r="1825" spans="1:49" ht="8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</row>
    <row r="1826" spans="1:49" ht="8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</row>
    <row r="1827" spans="1:49" ht="8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</row>
    <row r="1828" spans="1:49" ht="8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</row>
    <row r="1829" spans="1:49" ht="8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</row>
    <row r="1830" spans="1:49" ht="8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</row>
    <row r="1831" spans="1:49" ht="8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</row>
    <row r="1832" spans="1:49" ht="8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</row>
    <row r="1833" spans="1:49" ht="8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</row>
    <row r="1834" spans="1:49" ht="8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</row>
    <row r="1835" spans="1:49" ht="8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</row>
    <row r="1836" spans="1:49" ht="8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</row>
    <row r="1837" spans="1:49" ht="8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</row>
    <row r="1838" spans="1:49" ht="8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</row>
    <row r="1839" spans="1:49" ht="8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</row>
    <row r="1840" spans="1:49" ht="8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</row>
    <row r="1841" spans="1:49" ht="8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</row>
    <row r="1842" spans="1:49" ht="8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</row>
    <row r="1843" spans="1:49" ht="8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</row>
    <row r="1844" spans="1:49" ht="8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</row>
    <row r="1845" spans="1:49" ht="8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</row>
    <row r="1846" spans="1:49" ht="8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</row>
    <row r="1847" spans="1:49" ht="8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</row>
    <row r="1848" spans="1:49" ht="8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</row>
    <row r="1849" spans="1:49" ht="8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</row>
    <row r="1850" spans="1:49" ht="8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</row>
    <row r="1851" spans="1:49" ht="8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</row>
    <row r="1852" spans="1:49" ht="8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</row>
    <row r="1853" spans="1:49" ht="8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</row>
    <row r="1854" spans="1:49" ht="8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</row>
    <row r="1855" spans="1:49" ht="8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</row>
    <row r="1856" spans="1:49" ht="8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</row>
    <row r="1857" spans="1:49" ht="8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</row>
    <row r="1858" spans="1:49" ht="8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</row>
    <row r="1859" spans="1:49" ht="8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</row>
    <row r="1860" spans="1:49" ht="8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</row>
    <row r="1861" spans="1:49" ht="8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</row>
    <row r="1862" spans="1:49" ht="8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</row>
    <row r="1863" spans="1:49" ht="8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</row>
    <row r="1864" spans="1:49" ht="8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</row>
    <row r="1865" spans="1:49" ht="8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</row>
    <row r="1866" spans="1:49" ht="8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</row>
    <row r="1867" spans="1:49" ht="8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</row>
    <row r="1868" spans="1:49" ht="8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</row>
    <row r="1869" spans="1:49" ht="8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</row>
    <row r="1870" spans="1:49" ht="8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</row>
    <row r="1871" spans="1:49" ht="8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</row>
    <row r="1872" spans="1:49" ht="8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</row>
    <row r="1873" spans="1:49" ht="8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</row>
    <row r="1874" spans="1:49" ht="8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</row>
    <row r="1875" spans="1:49" ht="8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</row>
    <row r="1876" spans="1:49" ht="8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</row>
    <row r="1877" spans="1:49" ht="8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</row>
    <row r="1878" spans="1:49" ht="8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</row>
    <row r="1879" spans="1:49" ht="8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</row>
    <row r="1880" spans="1:49" ht="8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</row>
    <row r="1881" spans="1:49" ht="8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</row>
    <row r="1882" spans="1:49" ht="8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</row>
    <row r="1883" spans="1:49" ht="8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</row>
    <row r="1884" spans="1:49" ht="8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</row>
    <row r="1885" spans="1:49" ht="8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</row>
    <row r="1886" spans="1:49" ht="8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</row>
    <row r="1887" spans="1:49" ht="8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</row>
    <row r="1888" spans="1:49" ht="8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</row>
    <row r="1889" spans="1:49" ht="8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</row>
    <row r="1890" spans="1:49" ht="8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</row>
    <row r="1891" spans="1:49" ht="8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</row>
    <row r="1892" spans="1:49" ht="8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</row>
    <row r="1893" spans="1:49" ht="8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</row>
    <row r="1894" spans="1:49" ht="8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</row>
    <row r="1895" spans="1:49" ht="8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</row>
    <row r="1896" spans="1:49" ht="8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</row>
    <row r="1897" spans="1:49" ht="8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</row>
    <row r="1898" spans="1:49" ht="8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</row>
    <row r="1899" spans="1:49" ht="8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</row>
    <row r="1900" spans="1:49" ht="8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</row>
    <row r="1901" spans="1:49" ht="8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</row>
    <row r="1902" spans="1:49" ht="8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</row>
    <row r="1903" spans="1:49" ht="8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</row>
    <row r="1904" spans="1:49" ht="8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</row>
    <row r="1905" spans="1:49" ht="8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</row>
    <row r="1906" spans="1:49" ht="8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</row>
    <row r="1907" spans="1:49" ht="8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</row>
    <row r="1908" spans="1:49" ht="8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</row>
    <row r="1909" spans="1:49" ht="8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</row>
    <row r="1910" spans="1:49" ht="8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</row>
    <row r="1911" spans="1:49" ht="8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</row>
    <row r="1912" spans="1:49" ht="8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</row>
    <row r="1913" spans="1:49" ht="8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</row>
    <row r="1914" spans="1:49" ht="8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</row>
    <row r="1915" spans="1:49" ht="8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</row>
    <row r="1916" spans="1:49" ht="8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</row>
    <row r="1917" spans="1:49" ht="8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</row>
    <row r="1918" spans="1:49" ht="8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</row>
    <row r="1919" spans="1:49" ht="8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</row>
    <row r="1920" spans="1:49" ht="8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</row>
    <row r="1921" spans="1:49" ht="8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</row>
    <row r="1922" spans="1:49" ht="8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</row>
    <row r="1923" spans="1:49" ht="8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</row>
    <row r="1924" spans="1:49" ht="8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</row>
    <row r="1925" spans="1:49" ht="8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</row>
    <row r="1926" spans="1:49" ht="8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</row>
    <row r="1927" spans="1:49" ht="8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</row>
    <row r="1928" spans="1:49" ht="8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</row>
    <row r="1929" spans="1:49" ht="8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</row>
    <row r="1930" spans="1:49" ht="8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</row>
    <row r="1931" spans="1:49" ht="8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</row>
    <row r="1932" spans="1:49" ht="8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</row>
    <row r="1933" spans="1:49" ht="8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</row>
    <row r="1934" spans="1:49" ht="8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</row>
    <row r="1935" spans="1:49" ht="8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</row>
    <row r="1936" spans="1:49" ht="8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</row>
    <row r="1937" spans="1:49" ht="8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</row>
    <row r="1938" spans="1:49" ht="8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</row>
    <row r="1939" spans="1:49" ht="8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</row>
    <row r="1940" spans="1:49" ht="8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</row>
    <row r="1941" spans="1:49" ht="8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</row>
    <row r="1942" spans="1:49" ht="8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</row>
    <row r="1943" spans="1:49" ht="8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</row>
    <row r="1944" spans="1:49" ht="8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</row>
    <row r="1945" spans="1:49" ht="8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</row>
    <row r="1946" spans="1:49" ht="8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</row>
    <row r="1947" spans="1:49" ht="8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</row>
    <row r="1948" spans="1:49" ht="8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</row>
    <row r="1949" spans="1:49" ht="8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</row>
    <row r="1950" spans="1:49" ht="8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</row>
    <row r="1951" spans="1:49" ht="8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</row>
    <row r="1952" spans="1:49" ht="8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</row>
    <row r="1953" spans="1:49" ht="8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</row>
    <row r="1954" spans="1:49" ht="8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</row>
    <row r="1955" spans="1:49" ht="8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</row>
    <row r="1956" spans="1:49" ht="8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</row>
  </sheetData>
  <sheetProtection/>
  <mergeCells count="1">
    <mergeCell ref="B83:G83"/>
  </mergeCells>
  <printOptions horizontalCentered="1" verticalCentered="1"/>
  <pageMargins left="0.6" right="0.6" top="0.4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PageLayoutView="0" workbookViewId="0" topLeftCell="A1">
      <selection activeCell="K31" sqref="K31"/>
    </sheetView>
  </sheetViews>
  <sheetFormatPr defaultColWidth="9.59765625" defaultRowHeight="8.25"/>
  <cols>
    <col min="1" max="1" width="19" style="0" customWidth="1"/>
    <col min="2" max="2" width="19.796875" style="0" customWidth="1"/>
    <col min="3" max="4" width="19.19921875" style="0" customWidth="1"/>
    <col min="5" max="5" width="15.3984375" style="0" customWidth="1"/>
    <col min="6" max="6" width="19" style="0" customWidth="1"/>
    <col min="7" max="7" width="24" style="0" customWidth="1"/>
    <col min="8" max="8" width="16.59765625" style="0" customWidth="1"/>
    <col min="9" max="9" width="0.3984375" style="0" customWidth="1"/>
    <col min="10" max="11" width="17.19921875" style="0" customWidth="1"/>
    <col min="12" max="12" width="0.3984375" style="0" customWidth="1"/>
    <col min="13" max="14" width="18.59765625" style="0" customWidth="1"/>
    <col min="15" max="15" width="15" style="0" customWidth="1"/>
    <col min="16" max="16" width="2.796875" style="0" customWidth="1"/>
    <col min="17" max="17" width="15.19921875" style="0" customWidth="1"/>
  </cols>
  <sheetData>
    <row r="1" spans="1:17" ht="11.25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8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108" t="s">
        <v>89</v>
      </c>
      <c r="B3" s="6"/>
      <c r="C3" s="6"/>
      <c r="D3" s="6"/>
      <c r="E3" s="6"/>
      <c r="F3" s="107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6.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9">
      <c r="A5" s="102" t="s">
        <v>94</v>
      </c>
      <c r="B5" s="98"/>
      <c r="C5" s="98"/>
      <c r="D5" s="98"/>
      <c r="E5" s="98"/>
      <c r="F5" s="98"/>
      <c r="G5" s="99" t="s">
        <v>0</v>
      </c>
      <c r="H5" s="98"/>
      <c r="I5" s="98"/>
      <c r="J5" s="98"/>
      <c r="K5" s="98"/>
      <c r="L5" s="98"/>
      <c r="M5" s="98"/>
      <c r="N5" s="98"/>
      <c r="O5" s="100"/>
      <c r="P5" s="100"/>
      <c r="Q5" s="101" t="s">
        <v>1</v>
      </c>
    </row>
    <row r="6" spans="1:17" ht="8.25">
      <c r="A6" s="61"/>
      <c r="B6" s="61"/>
      <c r="C6" s="61"/>
      <c r="D6" s="61"/>
      <c r="E6" s="61"/>
      <c r="F6" s="62" t="s">
        <v>2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ht="8.25">
      <c r="A7" s="65"/>
      <c r="B7" s="65"/>
      <c r="C7" s="66"/>
      <c r="D7" s="66"/>
      <c r="E7" s="66"/>
      <c r="F7" s="65"/>
      <c r="G7" s="67" t="s">
        <v>3</v>
      </c>
      <c r="H7" s="68"/>
      <c r="I7" s="68"/>
      <c r="J7" s="68"/>
      <c r="K7" s="68"/>
      <c r="L7" s="68"/>
      <c r="M7" s="68"/>
      <c r="N7" s="68"/>
      <c r="O7" s="68"/>
      <c r="P7" s="68"/>
      <c r="Q7" s="69"/>
    </row>
    <row r="8" spans="1:17" ht="8.25">
      <c r="A8" s="65"/>
      <c r="B8" s="66"/>
      <c r="C8" s="66"/>
      <c r="D8" s="66"/>
      <c r="E8" s="66"/>
      <c r="F8" s="66"/>
      <c r="G8" s="67" t="s">
        <v>6</v>
      </c>
      <c r="H8" s="68"/>
      <c r="I8" s="68"/>
      <c r="J8" s="67" t="s">
        <v>7</v>
      </c>
      <c r="K8" s="68"/>
      <c r="L8" s="68"/>
      <c r="M8" s="67" t="s">
        <v>8</v>
      </c>
      <c r="N8" s="68"/>
      <c r="O8" s="68"/>
      <c r="P8" s="68"/>
      <c r="Q8" s="69"/>
    </row>
    <row r="9" spans="1:17" ht="33">
      <c r="A9" s="66" t="s">
        <v>9</v>
      </c>
      <c r="B9" s="70" t="s">
        <v>81</v>
      </c>
      <c r="C9" s="70" t="s">
        <v>82</v>
      </c>
      <c r="D9" s="70" t="s">
        <v>83</v>
      </c>
      <c r="E9" s="70" t="s">
        <v>84</v>
      </c>
      <c r="F9" s="70" t="s">
        <v>92</v>
      </c>
      <c r="G9" s="70" t="s">
        <v>93</v>
      </c>
      <c r="H9" s="70" t="s">
        <v>85</v>
      </c>
      <c r="I9" s="71"/>
      <c r="J9" s="70" t="s">
        <v>93</v>
      </c>
      <c r="K9" s="70" t="s">
        <v>85</v>
      </c>
      <c r="L9" s="71"/>
      <c r="M9" s="70" t="s">
        <v>93</v>
      </c>
      <c r="N9" s="70" t="s">
        <v>88</v>
      </c>
      <c r="O9" s="70" t="s">
        <v>85</v>
      </c>
      <c r="P9" s="71"/>
      <c r="Q9" s="72" t="s">
        <v>86</v>
      </c>
    </row>
    <row r="10" spans="1:17" ht="8.25">
      <c r="A10" s="73"/>
      <c r="B10" s="73"/>
      <c r="C10" s="73"/>
      <c r="D10" s="73"/>
      <c r="E10" s="73"/>
      <c r="F10" s="73"/>
      <c r="G10" s="73"/>
      <c r="H10" s="67"/>
      <c r="I10" s="68"/>
      <c r="J10" s="73"/>
      <c r="K10" s="67"/>
      <c r="L10" s="68"/>
      <c r="M10" s="73"/>
      <c r="N10" s="73"/>
      <c r="O10" s="67"/>
      <c r="P10" s="68"/>
      <c r="Q10" s="74"/>
    </row>
    <row r="11" spans="1:17" ht="9" customHeight="1">
      <c r="A11" s="65" t="s">
        <v>14</v>
      </c>
      <c r="B11" s="75">
        <v>3294312</v>
      </c>
      <c r="C11" s="75">
        <v>61174</v>
      </c>
      <c r="D11" s="75">
        <v>3233138</v>
      </c>
      <c r="E11" s="75">
        <v>4220</v>
      </c>
      <c r="F11" s="75">
        <v>3228918</v>
      </c>
      <c r="G11" s="75">
        <v>2513306</v>
      </c>
      <c r="H11" s="76">
        <v>-1.2</v>
      </c>
      <c r="I11" s="77"/>
      <c r="J11" s="75">
        <v>712799</v>
      </c>
      <c r="K11" s="76">
        <v>-4.3</v>
      </c>
      <c r="L11" s="77"/>
      <c r="M11" s="75">
        <v>3226105</v>
      </c>
      <c r="N11" s="75">
        <v>3288138</v>
      </c>
      <c r="O11" s="76">
        <v>-1.9</v>
      </c>
      <c r="P11" s="77"/>
      <c r="Q11" s="78">
        <v>2813</v>
      </c>
    </row>
    <row r="12" spans="1:17" ht="9" customHeight="1">
      <c r="A12" s="65" t="s">
        <v>15</v>
      </c>
      <c r="B12" s="75">
        <v>561970</v>
      </c>
      <c r="C12" s="75">
        <v>69718</v>
      </c>
      <c r="D12" s="75">
        <v>492252</v>
      </c>
      <c r="E12" s="75">
        <v>601</v>
      </c>
      <c r="F12" s="75">
        <v>491651</v>
      </c>
      <c r="G12" s="75">
        <v>223486</v>
      </c>
      <c r="H12" s="76">
        <v>7.9</v>
      </c>
      <c r="I12" s="77"/>
      <c r="J12" s="75">
        <v>267129</v>
      </c>
      <c r="K12" s="76">
        <v>9.1</v>
      </c>
      <c r="L12" s="77"/>
      <c r="M12" s="75">
        <v>490615</v>
      </c>
      <c r="N12" s="75">
        <v>451986</v>
      </c>
      <c r="O12" s="76">
        <v>8.5</v>
      </c>
      <c r="P12" s="77"/>
      <c r="Q12" s="78">
        <v>1036</v>
      </c>
    </row>
    <row r="13" spans="1:17" ht="9" customHeight="1">
      <c r="A13" s="65" t="s">
        <v>16</v>
      </c>
      <c r="B13" s="75">
        <v>3367817</v>
      </c>
      <c r="C13" s="75">
        <v>54448</v>
      </c>
      <c r="D13" s="75">
        <v>3313369</v>
      </c>
      <c r="E13" s="75">
        <v>12599</v>
      </c>
      <c r="F13" s="75">
        <v>3300770</v>
      </c>
      <c r="G13" s="75">
        <v>2556715</v>
      </c>
      <c r="H13" s="76">
        <v>-3.9</v>
      </c>
      <c r="I13" s="77"/>
      <c r="J13" s="75">
        <v>744055</v>
      </c>
      <c r="K13" s="76">
        <v>-7.2</v>
      </c>
      <c r="L13" s="77"/>
      <c r="M13" s="75">
        <v>3300770</v>
      </c>
      <c r="N13" s="75">
        <v>3462226</v>
      </c>
      <c r="O13" s="76">
        <v>-4.7</v>
      </c>
      <c r="P13" s="77"/>
      <c r="Q13" s="78">
        <v>0</v>
      </c>
    </row>
    <row r="14" spans="1:17" ht="9" customHeight="1">
      <c r="A14" s="73" t="s">
        <v>17</v>
      </c>
      <c r="B14" s="75">
        <v>2056827</v>
      </c>
      <c r="C14" s="75">
        <v>28984</v>
      </c>
      <c r="D14" s="75">
        <v>2027843</v>
      </c>
      <c r="E14" s="75">
        <v>4421</v>
      </c>
      <c r="F14" s="75">
        <v>2023422</v>
      </c>
      <c r="G14" s="75">
        <v>1430479</v>
      </c>
      <c r="H14" s="76">
        <v>12.4</v>
      </c>
      <c r="I14" s="79"/>
      <c r="J14" s="75">
        <v>592943</v>
      </c>
      <c r="K14" s="76">
        <v>-5.6</v>
      </c>
      <c r="L14" s="79"/>
      <c r="M14" s="75">
        <v>2023422</v>
      </c>
      <c r="N14" s="75">
        <v>1900894</v>
      </c>
      <c r="O14" s="76">
        <v>6.4</v>
      </c>
      <c r="P14" s="79"/>
      <c r="Q14" s="78">
        <v>0</v>
      </c>
    </row>
    <row r="15" spans="1:17" ht="9" customHeight="1">
      <c r="A15" s="65" t="s">
        <v>18</v>
      </c>
      <c r="B15" s="80">
        <v>17559876</v>
      </c>
      <c r="C15" s="80">
        <v>1575</v>
      </c>
      <c r="D15" s="80">
        <v>17558301</v>
      </c>
      <c r="E15" s="80">
        <v>23469</v>
      </c>
      <c r="F15" s="80">
        <v>17534832</v>
      </c>
      <c r="G15" s="80">
        <v>14720097</v>
      </c>
      <c r="H15" s="81">
        <v>-2.1</v>
      </c>
      <c r="I15" s="82"/>
      <c r="J15" s="80">
        <v>2729915</v>
      </c>
      <c r="K15" s="81">
        <v>-2.4</v>
      </c>
      <c r="L15" s="82"/>
      <c r="M15" s="80">
        <v>17450012</v>
      </c>
      <c r="N15" s="80">
        <v>17829713</v>
      </c>
      <c r="O15" s="81">
        <v>-2.1</v>
      </c>
      <c r="P15" s="82"/>
      <c r="Q15" s="83">
        <v>84820</v>
      </c>
    </row>
    <row r="16" spans="1:17" ht="9" customHeight="1">
      <c r="A16" s="65" t="s">
        <v>19</v>
      </c>
      <c r="B16" s="75">
        <v>2622256</v>
      </c>
      <c r="C16" s="75">
        <v>73778</v>
      </c>
      <c r="D16" s="75">
        <v>2548478</v>
      </c>
      <c r="E16" s="75">
        <v>12601</v>
      </c>
      <c r="F16" s="75">
        <v>2535877</v>
      </c>
      <c r="G16" s="75">
        <v>2007678</v>
      </c>
      <c r="H16" s="76">
        <v>-0.6</v>
      </c>
      <c r="I16" s="79"/>
      <c r="J16" s="75">
        <v>523557</v>
      </c>
      <c r="K16" s="76">
        <v>-8</v>
      </c>
      <c r="L16" s="79"/>
      <c r="M16" s="75">
        <v>2531235</v>
      </c>
      <c r="N16" s="75">
        <v>2588949</v>
      </c>
      <c r="O16" s="76">
        <v>-2.2</v>
      </c>
      <c r="P16" s="79"/>
      <c r="Q16" s="78">
        <v>4642</v>
      </c>
    </row>
    <row r="17" spans="1:17" ht="9" customHeight="1">
      <c r="A17" s="65" t="s">
        <v>20</v>
      </c>
      <c r="B17" s="75">
        <v>1780538</v>
      </c>
      <c r="C17" s="75">
        <v>17068</v>
      </c>
      <c r="D17" s="75">
        <v>1763470</v>
      </c>
      <c r="E17" s="75">
        <v>10752</v>
      </c>
      <c r="F17" s="75">
        <v>1752718</v>
      </c>
      <c r="G17" s="75">
        <v>1484261</v>
      </c>
      <c r="H17" s="76">
        <v>0.9</v>
      </c>
      <c r="I17" s="79"/>
      <c r="J17" s="75">
        <v>268457</v>
      </c>
      <c r="K17" s="76">
        <v>-9.3</v>
      </c>
      <c r="L17" s="79"/>
      <c r="M17" s="75">
        <v>1752718</v>
      </c>
      <c r="N17" s="75">
        <v>1766692</v>
      </c>
      <c r="O17" s="76">
        <v>-0.8</v>
      </c>
      <c r="P17" s="79"/>
      <c r="Q17" s="78">
        <v>0</v>
      </c>
    </row>
    <row r="18" spans="1:17" ht="9" customHeight="1">
      <c r="A18" s="73" t="s">
        <v>21</v>
      </c>
      <c r="B18" s="84">
        <v>516848</v>
      </c>
      <c r="C18" s="84">
        <v>22005</v>
      </c>
      <c r="D18" s="84">
        <v>494843</v>
      </c>
      <c r="E18" s="84">
        <v>655</v>
      </c>
      <c r="F18" s="84">
        <v>494188</v>
      </c>
      <c r="G18" s="84">
        <v>428670</v>
      </c>
      <c r="H18" s="85">
        <v>-1.6</v>
      </c>
      <c r="I18" s="86"/>
      <c r="J18" s="84">
        <v>65518</v>
      </c>
      <c r="K18" s="85">
        <v>8.7</v>
      </c>
      <c r="L18" s="86"/>
      <c r="M18" s="84">
        <v>494188</v>
      </c>
      <c r="N18" s="84">
        <v>496012</v>
      </c>
      <c r="O18" s="85">
        <v>-0.4</v>
      </c>
      <c r="P18" s="86"/>
      <c r="Q18" s="87">
        <v>0</v>
      </c>
    </row>
    <row r="19" spans="1:17" ht="9" customHeight="1">
      <c r="A19" s="65" t="s">
        <v>22</v>
      </c>
      <c r="B19" s="75">
        <v>142218</v>
      </c>
      <c r="C19" s="75">
        <v>28194</v>
      </c>
      <c r="D19" s="75">
        <v>114024</v>
      </c>
      <c r="E19" s="75">
        <v>0</v>
      </c>
      <c r="F19" s="75">
        <v>114024</v>
      </c>
      <c r="G19" s="75">
        <v>92125</v>
      </c>
      <c r="H19" s="76">
        <v>10.3</v>
      </c>
      <c r="I19" s="77"/>
      <c r="J19" s="75">
        <v>21899</v>
      </c>
      <c r="K19" s="76">
        <v>-18.8</v>
      </c>
      <c r="L19" s="77"/>
      <c r="M19" s="75">
        <v>114024</v>
      </c>
      <c r="N19" s="75">
        <v>110498</v>
      </c>
      <c r="O19" s="76">
        <v>3.2</v>
      </c>
      <c r="P19" s="77"/>
      <c r="Q19" s="78">
        <v>0</v>
      </c>
    </row>
    <row r="20" spans="1:17" ht="9" customHeight="1">
      <c r="A20" s="65" t="s">
        <v>23</v>
      </c>
      <c r="B20" s="75">
        <v>9663900</v>
      </c>
      <c r="C20" s="75">
        <v>13190</v>
      </c>
      <c r="D20" s="75">
        <v>9650710</v>
      </c>
      <c r="E20" s="75">
        <v>0</v>
      </c>
      <c r="F20" s="75">
        <v>9650710</v>
      </c>
      <c r="G20" s="75">
        <v>8090763</v>
      </c>
      <c r="H20" s="76">
        <v>1.2</v>
      </c>
      <c r="I20" s="77"/>
      <c r="J20" s="75">
        <v>1334312</v>
      </c>
      <c r="K20" s="76">
        <v>-10.8</v>
      </c>
      <c r="L20" s="77"/>
      <c r="M20" s="75">
        <v>9425075</v>
      </c>
      <c r="N20" s="75">
        <v>9494227</v>
      </c>
      <c r="O20" s="76">
        <v>-0.7</v>
      </c>
      <c r="P20" s="77"/>
      <c r="Q20" s="78">
        <v>225635</v>
      </c>
    </row>
    <row r="21" spans="1:17" ht="9" customHeight="1">
      <c r="A21" s="65" t="s">
        <v>24</v>
      </c>
      <c r="B21" s="75">
        <v>6087206</v>
      </c>
      <c r="C21" s="75">
        <v>0</v>
      </c>
      <c r="D21" s="75">
        <v>6087206</v>
      </c>
      <c r="E21" s="75">
        <v>0</v>
      </c>
      <c r="F21" s="75">
        <v>6087206</v>
      </c>
      <c r="G21" s="75">
        <v>4880045</v>
      </c>
      <c r="H21" s="76">
        <v>2.5</v>
      </c>
      <c r="I21" s="77"/>
      <c r="J21" s="75">
        <v>1201345</v>
      </c>
      <c r="K21" s="76">
        <v>-10.1</v>
      </c>
      <c r="L21" s="77"/>
      <c r="M21" s="75">
        <v>6081390</v>
      </c>
      <c r="N21" s="75">
        <v>6098304</v>
      </c>
      <c r="O21" s="76">
        <v>-0.3</v>
      </c>
      <c r="P21" s="77"/>
      <c r="Q21" s="78">
        <v>5816</v>
      </c>
    </row>
    <row r="22" spans="1:17" ht="9" customHeight="1">
      <c r="A22" s="73" t="s">
        <v>25</v>
      </c>
      <c r="B22" s="75">
        <v>501269</v>
      </c>
      <c r="C22" s="75">
        <v>5044</v>
      </c>
      <c r="D22" s="75">
        <v>496225</v>
      </c>
      <c r="E22" s="75">
        <v>0</v>
      </c>
      <c r="F22" s="75">
        <v>496225</v>
      </c>
      <c r="G22" s="75">
        <v>446424</v>
      </c>
      <c r="H22" s="76">
        <v>1.4</v>
      </c>
      <c r="I22" s="79"/>
      <c r="J22" s="75">
        <v>49458</v>
      </c>
      <c r="K22" s="76">
        <v>-16.2</v>
      </c>
      <c r="L22" s="79"/>
      <c r="M22" s="75">
        <v>495882</v>
      </c>
      <c r="N22" s="75">
        <v>499218</v>
      </c>
      <c r="O22" s="76">
        <v>-0.7</v>
      </c>
      <c r="P22" s="79"/>
      <c r="Q22" s="78">
        <v>343</v>
      </c>
    </row>
    <row r="23" spans="1:17" ht="9" customHeight="1">
      <c r="A23" s="65" t="s">
        <v>26</v>
      </c>
      <c r="B23" s="80">
        <v>891256</v>
      </c>
      <c r="C23" s="80">
        <v>13013</v>
      </c>
      <c r="D23" s="80">
        <v>878243</v>
      </c>
      <c r="E23" s="80">
        <v>4433</v>
      </c>
      <c r="F23" s="80">
        <v>873810</v>
      </c>
      <c r="G23" s="80">
        <v>646206</v>
      </c>
      <c r="H23" s="81">
        <v>4</v>
      </c>
      <c r="I23" s="82"/>
      <c r="J23" s="80">
        <v>227604</v>
      </c>
      <c r="K23" s="81">
        <v>-7.7</v>
      </c>
      <c r="L23" s="82"/>
      <c r="M23" s="80">
        <v>873810</v>
      </c>
      <c r="N23" s="80">
        <v>868041</v>
      </c>
      <c r="O23" s="81">
        <v>0.7</v>
      </c>
      <c r="P23" s="82"/>
      <c r="Q23" s="83">
        <v>0</v>
      </c>
    </row>
    <row r="24" spans="1:17" ht="9" customHeight="1">
      <c r="A24" s="65" t="s">
        <v>27</v>
      </c>
      <c r="B24" s="75">
        <v>6299582</v>
      </c>
      <c r="C24" s="75">
        <v>32315</v>
      </c>
      <c r="D24" s="75">
        <v>6267267</v>
      </c>
      <c r="E24" s="75">
        <v>48354</v>
      </c>
      <c r="F24" s="75">
        <v>6218913</v>
      </c>
      <c r="G24" s="75">
        <v>4819075</v>
      </c>
      <c r="H24" s="76">
        <v>-1.3</v>
      </c>
      <c r="I24" s="79"/>
      <c r="J24" s="75">
        <v>1399838</v>
      </c>
      <c r="K24" s="76">
        <v>-2.7</v>
      </c>
      <c r="L24" s="79"/>
      <c r="M24" s="75">
        <v>6218913</v>
      </c>
      <c r="N24" s="75">
        <v>6321433</v>
      </c>
      <c r="O24" s="76">
        <v>-1.6</v>
      </c>
      <c r="P24" s="79"/>
      <c r="Q24" s="78">
        <v>0</v>
      </c>
    </row>
    <row r="25" spans="1:17" ht="9" customHeight="1">
      <c r="A25" s="65" t="s">
        <v>28</v>
      </c>
      <c r="B25" s="75">
        <v>4203964</v>
      </c>
      <c r="C25" s="75">
        <v>44043</v>
      </c>
      <c r="D25" s="75">
        <v>4159921</v>
      </c>
      <c r="E25" s="75">
        <v>24519</v>
      </c>
      <c r="F25" s="75">
        <v>4135402</v>
      </c>
      <c r="G25" s="75">
        <v>3016565</v>
      </c>
      <c r="H25" s="76">
        <v>-0.9</v>
      </c>
      <c r="I25" s="79"/>
      <c r="J25" s="75">
        <v>1118837</v>
      </c>
      <c r="K25" s="76">
        <v>-14.8</v>
      </c>
      <c r="L25" s="79"/>
      <c r="M25" s="75">
        <v>4135402</v>
      </c>
      <c r="N25" s="75">
        <v>4358298</v>
      </c>
      <c r="O25" s="76">
        <v>-5.1</v>
      </c>
      <c r="P25" s="79"/>
      <c r="Q25" s="78">
        <v>0</v>
      </c>
    </row>
    <row r="26" spans="1:17" ht="9" customHeight="1">
      <c r="A26" s="73" t="s">
        <v>29</v>
      </c>
      <c r="B26" s="84">
        <v>2259074</v>
      </c>
      <c r="C26" s="84">
        <v>0</v>
      </c>
      <c r="D26" s="84">
        <v>2259074</v>
      </c>
      <c r="E26" s="84">
        <v>108534</v>
      </c>
      <c r="F26" s="84">
        <v>2150540</v>
      </c>
      <c r="G26" s="84">
        <v>1539185</v>
      </c>
      <c r="H26" s="85">
        <v>0.6</v>
      </c>
      <c r="I26" s="86"/>
      <c r="J26" s="84">
        <v>609332</v>
      </c>
      <c r="K26" s="85">
        <v>-5.9</v>
      </c>
      <c r="L26" s="86"/>
      <c r="M26" s="84">
        <v>2148517</v>
      </c>
      <c r="N26" s="84">
        <v>2176733</v>
      </c>
      <c r="O26" s="85">
        <v>-1.3</v>
      </c>
      <c r="P26" s="86"/>
      <c r="Q26" s="87">
        <v>2023</v>
      </c>
    </row>
    <row r="27" spans="1:17" ht="9" customHeight="1">
      <c r="A27" s="65" t="s">
        <v>30</v>
      </c>
      <c r="B27" s="75">
        <v>1770551</v>
      </c>
      <c r="C27" s="75">
        <v>42840</v>
      </c>
      <c r="D27" s="75">
        <v>1727711</v>
      </c>
      <c r="E27" s="75">
        <v>3992</v>
      </c>
      <c r="F27" s="75">
        <v>1723719</v>
      </c>
      <c r="G27" s="75">
        <v>1281879</v>
      </c>
      <c r="H27" s="76">
        <v>1.5</v>
      </c>
      <c r="I27" s="77"/>
      <c r="J27" s="75">
        <v>441840</v>
      </c>
      <c r="K27" s="76">
        <v>-8.3</v>
      </c>
      <c r="L27" s="77"/>
      <c r="M27" s="75">
        <v>1723719</v>
      </c>
      <c r="N27" s="75">
        <v>1745498</v>
      </c>
      <c r="O27" s="76">
        <v>-1.2</v>
      </c>
      <c r="P27" s="77"/>
      <c r="Q27" s="78">
        <v>0</v>
      </c>
    </row>
    <row r="28" spans="1:17" ht="9" customHeight="1">
      <c r="A28" s="65" t="s">
        <v>31</v>
      </c>
      <c r="B28" s="75">
        <v>2959330</v>
      </c>
      <c r="C28" s="75">
        <v>720</v>
      </c>
      <c r="D28" s="75">
        <v>2958610</v>
      </c>
      <c r="E28" s="75">
        <v>4459</v>
      </c>
      <c r="F28" s="75">
        <v>2954151</v>
      </c>
      <c r="G28" s="75">
        <v>2210434</v>
      </c>
      <c r="H28" s="76">
        <v>3.4</v>
      </c>
      <c r="I28" s="77"/>
      <c r="J28" s="75">
        <v>743717</v>
      </c>
      <c r="K28" s="76">
        <v>-9.5</v>
      </c>
      <c r="L28" s="77"/>
      <c r="M28" s="75">
        <v>2954151</v>
      </c>
      <c r="N28" s="75">
        <v>2960706</v>
      </c>
      <c r="O28" s="76">
        <v>-0.2</v>
      </c>
      <c r="P28" s="77"/>
      <c r="Q28" s="78">
        <v>0</v>
      </c>
    </row>
    <row r="29" spans="1:17" ht="9" customHeight="1">
      <c r="A29" s="65" t="s">
        <v>32</v>
      </c>
      <c r="B29" s="75">
        <v>2991909</v>
      </c>
      <c r="C29" s="75">
        <v>36524</v>
      </c>
      <c r="D29" s="75">
        <v>2955385</v>
      </c>
      <c r="E29" s="75">
        <v>825</v>
      </c>
      <c r="F29" s="75">
        <v>2954560</v>
      </c>
      <c r="G29" s="75">
        <v>2253296</v>
      </c>
      <c r="H29" s="76">
        <v>6.1</v>
      </c>
      <c r="I29" s="77"/>
      <c r="J29" s="75">
        <v>700164</v>
      </c>
      <c r="K29" s="76">
        <v>0.3</v>
      </c>
      <c r="L29" s="77"/>
      <c r="M29" s="75">
        <v>2953460</v>
      </c>
      <c r="N29" s="75">
        <v>2822335</v>
      </c>
      <c r="O29" s="76">
        <v>4.6</v>
      </c>
      <c r="P29" s="77"/>
      <c r="Q29" s="78">
        <v>1100</v>
      </c>
    </row>
    <row r="30" spans="1:17" ht="9" customHeight="1">
      <c r="A30" s="73" t="s">
        <v>33</v>
      </c>
      <c r="B30" s="75">
        <v>864799</v>
      </c>
      <c r="C30" s="75">
        <v>26924</v>
      </c>
      <c r="D30" s="75">
        <v>837875</v>
      </c>
      <c r="E30" s="75">
        <v>930</v>
      </c>
      <c r="F30" s="75">
        <v>836945</v>
      </c>
      <c r="G30" s="75">
        <v>650292</v>
      </c>
      <c r="H30" s="76">
        <v>0.2</v>
      </c>
      <c r="I30" s="79"/>
      <c r="J30" s="75">
        <v>186653</v>
      </c>
      <c r="K30" s="76">
        <v>3.5</v>
      </c>
      <c r="L30" s="79"/>
      <c r="M30" s="75">
        <v>836945</v>
      </c>
      <c r="N30" s="75">
        <v>829584</v>
      </c>
      <c r="O30" s="76">
        <v>0.9</v>
      </c>
      <c r="P30" s="79"/>
      <c r="Q30" s="78">
        <v>0</v>
      </c>
    </row>
    <row r="31" spans="1:17" ht="9" customHeight="1">
      <c r="A31" s="65" t="s">
        <v>34</v>
      </c>
      <c r="B31" s="80">
        <v>3559271</v>
      </c>
      <c r="C31" s="80">
        <v>159193</v>
      </c>
      <c r="D31" s="80">
        <v>3400078</v>
      </c>
      <c r="E31" s="80">
        <v>21493</v>
      </c>
      <c r="F31" s="80">
        <v>3378585</v>
      </c>
      <c r="G31" s="80">
        <v>2857047</v>
      </c>
      <c r="H31" s="81">
        <v>6.5</v>
      </c>
      <c r="I31" s="82"/>
      <c r="J31" s="80">
        <v>519838</v>
      </c>
      <c r="K31" s="81">
        <v>-1</v>
      </c>
      <c r="L31" s="82"/>
      <c r="M31" s="80">
        <v>3376885</v>
      </c>
      <c r="N31" s="80">
        <v>3206688</v>
      </c>
      <c r="O31" s="81">
        <v>5.3</v>
      </c>
      <c r="P31" s="82"/>
      <c r="Q31" s="83">
        <v>1700</v>
      </c>
    </row>
    <row r="32" spans="1:17" ht="9" customHeight="1">
      <c r="A32" s="65" t="s">
        <v>35</v>
      </c>
      <c r="B32" s="75">
        <v>3168825</v>
      </c>
      <c r="C32" s="75">
        <v>3453</v>
      </c>
      <c r="D32" s="75">
        <v>3165372</v>
      </c>
      <c r="E32" s="75">
        <v>17148</v>
      </c>
      <c r="F32" s="75">
        <v>3148224</v>
      </c>
      <c r="G32" s="75">
        <v>2745142</v>
      </c>
      <c r="H32" s="76">
        <v>-2.1</v>
      </c>
      <c r="I32" s="79"/>
      <c r="J32" s="75">
        <v>403082</v>
      </c>
      <c r="K32" s="76">
        <v>9.2</v>
      </c>
      <c r="L32" s="79"/>
      <c r="M32" s="75">
        <v>3148224</v>
      </c>
      <c r="N32" s="75">
        <v>3173733</v>
      </c>
      <c r="O32" s="76">
        <v>-0.8</v>
      </c>
      <c r="P32" s="79"/>
      <c r="Q32" s="78">
        <v>0</v>
      </c>
    </row>
    <row r="33" spans="1:17" ht="9" customHeight="1">
      <c r="A33" s="65" t="s">
        <v>36</v>
      </c>
      <c r="B33" s="75">
        <v>5345394</v>
      </c>
      <c r="C33" s="75">
        <v>5719</v>
      </c>
      <c r="D33" s="75">
        <v>5339675</v>
      </c>
      <c r="E33" s="75">
        <v>53789</v>
      </c>
      <c r="F33" s="75">
        <v>5285886</v>
      </c>
      <c r="G33" s="75">
        <v>4499392</v>
      </c>
      <c r="H33" s="76">
        <v>-0.3</v>
      </c>
      <c r="I33" s="79"/>
      <c r="J33" s="75">
        <v>783592</v>
      </c>
      <c r="K33" s="76">
        <v>-6.9</v>
      </c>
      <c r="L33" s="79"/>
      <c r="M33" s="75">
        <v>5282984</v>
      </c>
      <c r="N33" s="75">
        <v>5354064</v>
      </c>
      <c r="O33" s="76">
        <v>-1.3</v>
      </c>
      <c r="P33" s="79"/>
      <c r="Q33" s="78">
        <v>2902</v>
      </c>
    </row>
    <row r="34" spans="1:17" ht="9" customHeight="1">
      <c r="A34" s="73" t="s">
        <v>37</v>
      </c>
      <c r="B34" s="84">
        <v>3151182</v>
      </c>
      <c r="C34" s="84">
        <v>87183</v>
      </c>
      <c r="D34" s="84">
        <v>3063999</v>
      </c>
      <c r="E34" s="84">
        <v>24811</v>
      </c>
      <c r="F34" s="84">
        <v>3039188</v>
      </c>
      <c r="G34" s="84">
        <v>2437534</v>
      </c>
      <c r="H34" s="85">
        <v>-2.4</v>
      </c>
      <c r="I34" s="86"/>
      <c r="J34" s="84">
        <v>598711</v>
      </c>
      <c r="K34" s="85">
        <v>-10.4</v>
      </c>
      <c r="L34" s="86"/>
      <c r="M34" s="84">
        <v>3036245</v>
      </c>
      <c r="N34" s="84">
        <v>3165376</v>
      </c>
      <c r="O34" s="85">
        <v>-4.1</v>
      </c>
      <c r="P34" s="86"/>
      <c r="Q34" s="87">
        <v>2943</v>
      </c>
    </row>
    <row r="35" spans="1:17" ht="9" customHeight="1">
      <c r="A35" s="65" t="s">
        <v>38</v>
      </c>
      <c r="B35" s="75">
        <v>2130966</v>
      </c>
      <c r="C35" s="75">
        <v>32079</v>
      </c>
      <c r="D35" s="75">
        <v>2098887</v>
      </c>
      <c r="E35" s="75" t="s">
        <v>79</v>
      </c>
      <c r="F35" s="75">
        <v>2098887</v>
      </c>
      <c r="G35" s="75">
        <v>1544276</v>
      </c>
      <c r="H35" s="76">
        <v>-4.2</v>
      </c>
      <c r="I35" s="77"/>
      <c r="J35" s="75">
        <v>554309</v>
      </c>
      <c r="K35" s="76">
        <v>-11.4</v>
      </c>
      <c r="L35" s="77"/>
      <c r="M35" s="75">
        <v>2098585</v>
      </c>
      <c r="N35" s="75">
        <v>2237455</v>
      </c>
      <c r="O35" s="76">
        <v>-6.2</v>
      </c>
      <c r="P35" s="77"/>
      <c r="Q35" s="78">
        <v>302</v>
      </c>
    </row>
    <row r="36" spans="1:17" ht="9" customHeight="1">
      <c r="A36" s="65" t="s">
        <v>39</v>
      </c>
      <c r="B36" s="75">
        <v>4154886</v>
      </c>
      <c r="C36" s="75">
        <v>34008</v>
      </c>
      <c r="D36" s="75">
        <v>4120878</v>
      </c>
      <c r="E36" s="75">
        <v>27778</v>
      </c>
      <c r="F36" s="75">
        <v>4093100</v>
      </c>
      <c r="G36" s="75">
        <v>3139815</v>
      </c>
      <c r="H36" s="76">
        <v>-0.4</v>
      </c>
      <c r="I36" s="77"/>
      <c r="J36" s="75">
        <v>953285</v>
      </c>
      <c r="K36" s="76">
        <v>-4.4</v>
      </c>
      <c r="L36" s="77"/>
      <c r="M36" s="75">
        <v>4093100</v>
      </c>
      <c r="N36" s="75">
        <v>4148014</v>
      </c>
      <c r="O36" s="76">
        <v>-1.3</v>
      </c>
      <c r="P36" s="77"/>
      <c r="Q36" s="78">
        <v>0</v>
      </c>
    </row>
    <row r="37" spans="1:17" ht="9" customHeight="1">
      <c r="A37" s="65" t="s">
        <v>40</v>
      </c>
      <c r="B37" s="75">
        <v>733626</v>
      </c>
      <c r="C37" s="75">
        <v>0</v>
      </c>
      <c r="D37" s="75">
        <v>733626</v>
      </c>
      <c r="E37" s="75">
        <v>7412</v>
      </c>
      <c r="F37" s="75">
        <v>726214</v>
      </c>
      <c r="G37" s="75">
        <v>487588</v>
      </c>
      <c r="H37" s="76">
        <v>3</v>
      </c>
      <c r="I37" s="77"/>
      <c r="J37" s="75">
        <v>237130</v>
      </c>
      <c r="K37" s="76">
        <v>-6.3</v>
      </c>
      <c r="L37" s="77"/>
      <c r="M37" s="75">
        <v>724718</v>
      </c>
      <c r="N37" s="75">
        <v>726577</v>
      </c>
      <c r="O37" s="76">
        <v>-0.3</v>
      </c>
      <c r="P37" s="77"/>
      <c r="Q37" s="78">
        <v>1496</v>
      </c>
    </row>
    <row r="38" spans="1:17" ht="9" customHeight="1">
      <c r="A38" s="73" t="s">
        <v>41</v>
      </c>
      <c r="B38" s="75">
        <v>1219229</v>
      </c>
      <c r="C38" s="75">
        <v>2190</v>
      </c>
      <c r="D38" s="75">
        <v>1217039</v>
      </c>
      <c r="E38" s="75">
        <v>1077</v>
      </c>
      <c r="F38" s="75">
        <v>1215962</v>
      </c>
      <c r="G38" s="75">
        <v>814634</v>
      </c>
      <c r="H38" s="76">
        <v>-1.3</v>
      </c>
      <c r="I38" s="79"/>
      <c r="J38" s="75">
        <v>389441</v>
      </c>
      <c r="K38" s="76">
        <v>-4</v>
      </c>
      <c r="L38" s="79"/>
      <c r="M38" s="75">
        <v>1204075</v>
      </c>
      <c r="N38" s="75">
        <v>1231080</v>
      </c>
      <c r="O38" s="76">
        <v>-2.2</v>
      </c>
      <c r="P38" s="79"/>
      <c r="Q38" s="78">
        <v>11887</v>
      </c>
    </row>
    <row r="39" spans="1:17" ht="9" customHeight="1">
      <c r="A39" s="65" t="s">
        <v>42</v>
      </c>
      <c r="B39" s="80">
        <v>1419515</v>
      </c>
      <c r="C39" s="80">
        <v>8821</v>
      </c>
      <c r="D39" s="80">
        <v>1410694</v>
      </c>
      <c r="E39" s="80">
        <v>1977</v>
      </c>
      <c r="F39" s="80">
        <v>1408717</v>
      </c>
      <c r="G39" s="80">
        <v>1093850</v>
      </c>
      <c r="H39" s="81">
        <v>-2.8</v>
      </c>
      <c r="I39" s="82"/>
      <c r="J39" s="80">
        <v>312855</v>
      </c>
      <c r="K39" s="81">
        <v>-4.3</v>
      </c>
      <c r="L39" s="82"/>
      <c r="M39" s="80">
        <v>1406705</v>
      </c>
      <c r="N39" s="80">
        <v>1452872</v>
      </c>
      <c r="O39" s="81">
        <v>-3.2</v>
      </c>
      <c r="P39" s="82"/>
      <c r="Q39" s="83">
        <v>2012</v>
      </c>
    </row>
    <row r="40" spans="1:17" ht="9" customHeight="1">
      <c r="A40" s="65" t="s">
        <v>43</v>
      </c>
      <c r="B40" s="75">
        <v>810815</v>
      </c>
      <c r="C40" s="75">
        <v>5530</v>
      </c>
      <c r="D40" s="75">
        <v>805285</v>
      </c>
      <c r="E40" s="75">
        <v>3122</v>
      </c>
      <c r="F40" s="75">
        <v>802163</v>
      </c>
      <c r="G40" s="75">
        <v>707791</v>
      </c>
      <c r="H40" s="76">
        <v>-0.2</v>
      </c>
      <c r="I40" s="79"/>
      <c r="J40" s="75">
        <v>93697</v>
      </c>
      <c r="K40" s="76">
        <v>-5.3</v>
      </c>
      <c r="L40" s="79"/>
      <c r="M40" s="75">
        <v>801488</v>
      </c>
      <c r="N40" s="75">
        <v>808027</v>
      </c>
      <c r="O40" s="76">
        <v>-0.8</v>
      </c>
      <c r="P40" s="79"/>
      <c r="Q40" s="78">
        <v>675</v>
      </c>
    </row>
    <row r="41" spans="1:17" ht="9" customHeight="1">
      <c r="A41" s="65" t="s">
        <v>44</v>
      </c>
      <c r="B41" s="75">
        <v>5034892</v>
      </c>
      <c r="C41" s="75">
        <v>0</v>
      </c>
      <c r="D41" s="75">
        <v>5034892</v>
      </c>
      <c r="E41" s="75">
        <v>2334</v>
      </c>
      <c r="F41" s="75">
        <v>5032558</v>
      </c>
      <c r="G41" s="75">
        <v>4191613</v>
      </c>
      <c r="H41" s="76">
        <v>-2</v>
      </c>
      <c r="I41" s="79"/>
      <c r="J41" s="75">
        <v>840945</v>
      </c>
      <c r="K41" s="76">
        <v>-7</v>
      </c>
      <c r="L41" s="79"/>
      <c r="M41" s="75">
        <v>5032558</v>
      </c>
      <c r="N41" s="75">
        <v>5182257</v>
      </c>
      <c r="O41" s="76">
        <v>-2.9</v>
      </c>
      <c r="P41" s="79"/>
      <c r="Q41" s="78">
        <v>0</v>
      </c>
    </row>
    <row r="42" spans="1:17" ht="9" customHeight="1">
      <c r="A42" s="73" t="s">
        <v>45</v>
      </c>
      <c r="B42" s="84">
        <v>1404367</v>
      </c>
      <c r="C42" s="84">
        <v>73212</v>
      </c>
      <c r="D42" s="84">
        <v>1331155</v>
      </c>
      <c r="E42" s="84">
        <v>0</v>
      </c>
      <c r="F42" s="84">
        <v>1331155</v>
      </c>
      <c r="G42" s="84">
        <v>897353</v>
      </c>
      <c r="H42" s="85">
        <v>4.1</v>
      </c>
      <c r="I42" s="86"/>
      <c r="J42" s="84">
        <v>433802</v>
      </c>
      <c r="K42" s="85">
        <v>-8.5</v>
      </c>
      <c r="L42" s="86"/>
      <c r="M42" s="84">
        <v>1331155</v>
      </c>
      <c r="N42" s="84">
        <v>1335812</v>
      </c>
      <c r="O42" s="85">
        <v>-0.3</v>
      </c>
      <c r="P42" s="86"/>
      <c r="Q42" s="87">
        <v>0</v>
      </c>
    </row>
    <row r="43" spans="1:17" ht="9" customHeight="1">
      <c r="A43" s="65" t="s">
        <v>46</v>
      </c>
      <c r="B43" s="75">
        <v>7002961</v>
      </c>
      <c r="C43" s="75">
        <v>356179</v>
      </c>
      <c r="D43" s="75">
        <v>6646782</v>
      </c>
      <c r="E43" s="75">
        <v>68683</v>
      </c>
      <c r="F43" s="75">
        <v>6578099</v>
      </c>
      <c r="G43" s="75">
        <v>5219702</v>
      </c>
      <c r="H43" s="76">
        <v>0.7</v>
      </c>
      <c r="I43" s="77"/>
      <c r="J43" s="75">
        <v>1358397</v>
      </c>
      <c r="K43" s="76">
        <v>-4.6</v>
      </c>
      <c r="L43" s="77"/>
      <c r="M43" s="75">
        <v>6578099</v>
      </c>
      <c r="N43" s="75">
        <v>6606571</v>
      </c>
      <c r="O43" s="76">
        <v>-0.4</v>
      </c>
      <c r="P43" s="77"/>
      <c r="Q43" s="78">
        <v>0</v>
      </c>
    </row>
    <row r="44" spans="1:17" ht="9" customHeight="1">
      <c r="A44" s="65" t="s">
        <v>47</v>
      </c>
      <c r="B44" s="75">
        <v>5371203</v>
      </c>
      <c r="C44" s="75">
        <v>90005</v>
      </c>
      <c r="D44" s="75">
        <v>5281198</v>
      </c>
      <c r="E44" s="75">
        <v>172003</v>
      </c>
      <c r="F44" s="75">
        <v>5109195</v>
      </c>
      <c r="G44" s="75">
        <v>4143703</v>
      </c>
      <c r="H44" s="76">
        <v>-1.4</v>
      </c>
      <c r="I44" s="77"/>
      <c r="J44" s="75">
        <v>934388</v>
      </c>
      <c r="K44" s="76">
        <v>-4.2</v>
      </c>
      <c r="L44" s="77"/>
      <c r="M44" s="75">
        <v>5078091</v>
      </c>
      <c r="N44" s="75">
        <v>5178875</v>
      </c>
      <c r="O44" s="76">
        <v>-1.9</v>
      </c>
      <c r="P44" s="77"/>
      <c r="Q44" s="78">
        <v>31104</v>
      </c>
    </row>
    <row r="45" spans="1:17" ht="9" customHeight="1">
      <c r="A45" s="65" t="s">
        <v>48</v>
      </c>
      <c r="B45" s="75">
        <v>572499</v>
      </c>
      <c r="C45" s="75">
        <v>5015</v>
      </c>
      <c r="D45" s="75">
        <v>567484</v>
      </c>
      <c r="E45" s="75">
        <v>6425</v>
      </c>
      <c r="F45" s="75">
        <v>561059</v>
      </c>
      <c r="G45" s="75">
        <v>360752</v>
      </c>
      <c r="H45" s="76">
        <v>2.5</v>
      </c>
      <c r="I45" s="77"/>
      <c r="J45" s="75">
        <v>198427</v>
      </c>
      <c r="K45" s="76">
        <v>2.1</v>
      </c>
      <c r="L45" s="77"/>
      <c r="M45" s="75">
        <v>559179</v>
      </c>
      <c r="N45" s="75">
        <v>546376</v>
      </c>
      <c r="O45" s="76">
        <v>2.3</v>
      </c>
      <c r="P45" s="77"/>
      <c r="Q45" s="78">
        <v>1880</v>
      </c>
    </row>
    <row r="46" spans="1:17" ht="9" customHeight="1">
      <c r="A46" s="73" t="s">
        <v>49</v>
      </c>
      <c r="B46" s="75">
        <v>6358721</v>
      </c>
      <c r="C46" s="75">
        <v>84676</v>
      </c>
      <c r="D46" s="75">
        <v>6274045</v>
      </c>
      <c r="E46" s="75">
        <v>40104</v>
      </c>
      <c r="F46" s="75">
        <v>6233941</v>
      </c>
      <c r="G46" s="75">
        <v>4879180</v>
      </c>
      <c r="H46" s="76">
        <v>-0.9</v>
      </c>
      <c r="I46" s="79"/>
      <c r="J46" s="75">
        <v>1337712</v>
      </c>
      <c r="K46" s="76">
        <v>-11.7</v>
      </c>
      <c r="L46" s="79"/>
      <c r="M46" s="75">
        <v>6216892</v>
      </c>
      <c r="N46" s="75">
        <v>6437973</v>
      </c>
      <c r="O46" s="76">
        <v>-3.4</v>
      </c>
      <c r="P46" s="79"/>
      <c r="Q46" s="78">
        <v>17049</v>
      </c>
    </row>
    <row r="47" spans="1:17" ht="9" customHeight="1">
      <c r="A47" s="65" t="s">
        <v>50</v>
      </c>
      <c r="B47" s="80">
        <v>2572868</v>
      </c>
      <c r="C47" s="80">
        <v>6346</v>
      </c>
      <c r="D47" s="80">
        <v>2566522</v>
      </c>
      <c r="E47" s="80">
        <v>5552</v>
      </c>
      <c r="F47" s="80">
        <v>2560970</v>
      </c>
      <c r="G47" s="80">
        <v>1830261</v>
      </c>
      <c r="H47" s="81">
        <v>0.5</v>
      </c>
      <c r="I47" s="82"/>
      <c r="J47" s="80">
        <v>730465</v>
      </c>
      <c r="K47" s="81">
        <v>-20</v>
      </c>
      <c r="L47" s="82"/>
      <c r="M47" s="80">
        <v>2560726</v>
      </c>
      <c r="N47" s="80">
        <v>2733263</v>
      </c>
      <c r="O47" s="81">
        <v>-6.3</v>
      </c>
      <c r="P47" s="82"/>
      <c r="Q47" s="83">
        <v>244</v>
      </c>
    </row>
    <row r="48" spans="1:17" ht="9" customHeight="1">
      <c r="A48" s="65" t="s">
        <v>51</v>
      </c>
      <c r="B48" s="75">
        <v>2043510</v>
      </c>
      <c r="C48" s="75">
        <v>0</v>
      </c>
      <c r="D48" s="75">
        <v>2043510</v>
      </c>
      <c r="E48" s="75">
        <v>1397</v>
      </c>
      <c r="F48" s="75">
        <v>2042113</v>
      </c>
      <c r="G48" s="75">
        <v>1535893</v>
      </c>
      <c r="H48" s="76">
        <v>2.1</v>
      </c>
      <c r="I48" s="79"/>
      <c r="J48" s="75">
        <v>502709</v>
      </c>
      <c r="K48" s="76">
        <v>-6.9</v>
      </c>
      <c r="L48" s="79"/>
      <c r="M48" s="75">
        <v>2038602</v>
      </c>
      <c r="N48" s="75">
        <v>2044937</v>
      </c>
      <c r="O48" s="76">
        <v>-0.3</v>
      </c>
      <c r="P48" s="79"/>
      <c r="Q48" s="78">
        <v>3511</v>
      </c>
    </row>
    <row r="49" spans="1:17" ht="9" customHeight="1">
      <c r="A49" s="65" t="s">
        <v>52</v>
      </c>
      <c r="B49" s="75">
        <v>6469762</v>
      </c>
      <c r="C49" s="75">
        <v>230096</v>
      </c>
      <c r="D49" s="75">
        <v>6239666</v>
      </c>
      <c r="E49" s="75">
        <v>4254</v>
      </c>
      <c r="F49" s="75">
        <v>6235412</v>
      </c>
      <c r="G49" s="75">
        <v>4844364</v>
      </c>
      <c r="H49" s="76">
        <v>-2.1</v>
      </c>
      <c r="I49" s="79"/>
      <c r="J49" s="75">
        <v>1387647</v>
      </c>
      <c r="K49" s="76">
        <v>4.1</v>
      </c>
      <c r="L49" s="79"/>
      <c r="M49" s="75">
        <v>6232011</v>
      </c>
      <c r="N49" s="75">
        <v>6281782</v>
      </c>
      <c r="O49" s="76">
        <v>-0.8</v>
      </c>
      <c r="P49" s="79"/>
      <c r="Q49" s="78">
        <v>3401</v>
      </c>
    </row>
    <row r="50" spans="1:17" ht="9" customHeight="1">
      <c r="A50" s="73" t="s">
        <v>80</v>
      </c>
      <c r="B50" s="84">
        <v>451949</v>
      </c>
      <c r="C50" s="84">
        <v>14956</v>
      </c>
      <c r="D50" s="84">
        <v>436993</v>
      </c>
      <c r="E50" s="84">
        <v>0</v>
      </c>
      <c r="F50" s="84">
        <v>436993</v>
      </c>
      <c r="G50" s="84">
        <v>380820</v>
      </c>
      <c r="H50" s="85">
        <v>-3.5</v>
      </c>
      <c r="I50" s="86"/>
      <c r="J50" s="84">
        <v>56173</v>
      </c>
      <c r="K50" s="85">
        <v>-0.5</v>
      </c>
      <c r="L50" s="86"/>
      <c r="M50" s="84">
        <v>436993</v>
      </c>
      <c r="N50" s="84">
        <v>450910</v>
      </c>
      <c r="O50" s="85">
        <v>-3.1</v>
      </c>
      <c r="P50" s="86"/>
      <c r="Q50" s="87">
        <v>0</v>
      </c>
    </row>
    <row r="51" spans="1:17" ht="9" customHeight="1">
      <c r="A51" s="65" t="s">
        <v>53</v>
      </c>
      <c r="B51" s="75">
        <v>3365208</v>
      </c>
      <c r="C51" s="75">
        <v>7141</v>
      </c>
      <c r="D51" s="75">
        <v>3358067</v>
      </c>
      <c r="E51" s="75">
        <v>13</v>
      </c>
      <c r="F51" s="75">
        <v>3358054</v>
      </c>
      <c r="G51" s="75">
        <v>2714953</v>
      </c>
      <c r="H51" s="76">
        <v>5.7</v>
      </c>
      <c r="I51" s="77"/>
      <c r="J51" s="75">
        <v>643101</v>
      </c>
      <c r="K51" s="76">
        <v>-3.2</v>
      </c>
      <c r="L51" s="77"/>
      <c r="M51" s="75">
        <v>3358054</v>
      </c>
      <c r="N51" s="75">
        <v>3233320</v>
      </c>
      <c r="O51" s="76">
        <v>3.9</v>
      </c>
      <c r="P51" s="77"/>
      <c r="Q51" s="78">
        <v>0</v>
      </c>
    </row>
    <row r="52" spans="1:17" ht="9" customHeight="1">
      <c r="A52" s="65" t="s">
        <v>54</v>
      </c>
      <c r="B52" s="75">
        <v>648551</v>
      </c>
      <c r="C52" s="75">
        <v>10307</v>
      </c>
      <c r="D52" s="75">
        <v>638244</v>
      </c>
      <c r="E52" s="75">
        <v>5108</v>
      </c>
      <c r="F52" s="75">
        <v>633136</v>
      </c>
      <c r="G52" s="75">
        <v>433531</v>
      </c>
      <c r="H52" s="76">
        <v>6.7</v>
      </c>
      <c r="I52" s="77"/>
      <c r="J52" s="75">
        <v>199605</v>
      </c>
      <c r="K52" s="76">
        <v>-3</v>
      </c>
      <c r="L52" s="77"/>
      <c r="M52" s="75">
        <v>633136</v>
      </c>
      <c r="N52" s="75">
        <v>612028</v>
      </c>
      <c r="O52" s="76">
        <v>3.4</v>
      </c>
      <c r="P52" s="77"/>
      <c r="Q52" s="78">
        <v>0</v>
      </c>
    </row>
    <row r="53" spans="1:17" ht="9" customHeight="1">
      <c r="A53" s="65" t="s">
        <v>55</v>
      </c>
      <c r="B53" s="75">
        <v>3989927</v>
      </c>
      <c r="C53" s="75">
        <v>54384</v>
      </c>
      <c r="D53" s="75">
        <v>3935543</v>
      </c>
      <c r="E53" s="75">
        <v>53216</v>
      </c>
      <c r="F53" s="75">
        <v>3882327</v>
      </c>
      <c r="G53" s="75">
        <v>3055764</v>
      </c>
      <c r="H53" s="76">
        <v>2.4</v>
      </c>
      <c r="I53" s="77"/>
      <c r="J53" s="75">
        <v>826563</v>
      </c>
      <c r="K53" s="76">
        <v>-17.6</v>
      </c>
      <c r="L53" s="77"/>
      <c r="M53" s="75">
        <v>3882327</v>
      </c>
      <c r="N53" s="75">
        <v>3986978</v>
      </c>
      <c r="O53" s="76">
        <v>-2.6</v>
      </c>
      <c r="P53" s="77"/>
      <c r="Q53" s="78">
        <v>0</v>
      </c>
    </row>
    <row r="54" spans="1:17" ht="9" customHeight="1">
      <c r="A54" s="73" t="s">
        <v>56</v>
      </c>
      <c r="B54" s="75">
        <v>15793901</v>
      </c>
      <c r="C54" s="75">
        <v>117371</v>
      </c>
      <c r="D54" s="75">
        <v>15676530</v>
      </c>
      <c r="E54" s="75">
        <v>5839</v>
      </c>
      <c r="F54" s="87">
        <v>15670691</v>
      </c>
      <c r="G54" s="75">
        <v>11880506</v>
      </c>
      <c r="H54" s="76">
        <v>-0.4</v>
      </c>
      <c r="I54" s="79"/>
      <c r="J54" s="75">
        <v>3767938</v>
      </c>
      <c r="K54" s="76">
        <v>-9.8</v>
      </c>
      <c r="L54" s="79"/>
      <c r="M54" s="75">
        <v>15648444</v>
      </c>
      <c r="N54" s="75">
        <v>16109521</v>
      </c>
      <c r="O54" s="76">
        <v>-2.9</v>
      </c>
      <c r="P54" s="79"/>
      <c r="Q54" s="78">
        <v>22247</v>
      </c>
    </row>
    <row r="55" spans="1:17" ht="9" customHeight="1">
      <c r="A55" s="65" t="s">
        <v>57</v>
      </c>
      <c r="B55" s="80">
        <v>1484199</v>
      </c>
      <c r="C55" s="80">
        <v>42928</v>
      </c>
      <c r="D55" s="80">
        <v>1441271</v>
      </c>
      <c r="E55" s="80">
        <v>972</v>
      </c>
      <c r="F55" s="75">
        <v>1440299</v>
      </c>
      <c r="G55" s="80">
        <v>1022255</v>
      </c>
      <c r="H55" s="81">
        <v>-0.6</v>
      </c>
      <c r="I55" s="82"/>
      <c r="J55" s="80">
        <v>418044</v>
      </c>
      <c r="K55" s="81">
        <v>-6.1</v>
      </c>
      <c r="L55" s="82"/>
      <c r="M55" s="80">
        <v>1440299</v>
      </c>
      <c r="N55" s="80">
        <v>1473986</v>
      </c>
      <c r="O55" s="81">
        <v>-2.3</v>
      </c>
      <c r="P55" s="82"/>
      <c r="Q55" s="83">
        <v>0</v>
      </c>
    </row>
    <row r="56" spans="1:17" ht="9" customHeight="1">
      <c r="A56" s="65" t="s">
        <v>58</v>
      </c>
      <c r="B56" s="75">
        <v>388949</v>
      </c>
      <c r="C56" s="75">
        <v>3131</v>
      </c>
      <c r="D56" s="75">
        <v>385818</v>
      </c>
      <c r="E56" s="75">
        <v>0</v>
      </c>
      <c r="F56" s="75">
        <v>385818</v>
      </c>
      <c r="G56" s="75">
        <v>331440</v>
      </c>
      <c r="H56" s="76">
        <v>0.5</v>
      </c>
      <c r="I56" s="79"/>
      <c r="J56" s="75">
        <v>54378</v>
      </c>
      <c r="K56" s="76">
        <v>-11</v>
      </c>
      <c r="L56" s="79"/>
      <c r="M56" s="75">
        <v>385818</v>
      </c>
      <c r="N56" s="75">
        <v>391006</v>
      </c>
      <c r="O56" s="76">
        <v>-1.3</v>
      </c>
      <c r="P56" s="79"/>
      <c r="Q56" s="78">
        <v>0</v>
      </c>
    </row>
    <row r="57" spans="1:17" ht="9" customHeight="1">
      <c r="A57" s="65" t="s">
        <v>59</v>
      </c>
      <c r="B57" s="75">
        <v>4896918</v>
      </c>
      <c r="C57" s="75">
        <v>47517</v>
      </c>
      <c r="D57" s="75">
        <v>4849401</v>
      </c>
      <c r="E57" s="75">
        <v>75675</v>
      </c>
      <c r="F57" s="75">
        <v>4773726</v>
      </c>
      <c r="G57" s="75">
        <v>3788232</v>
      </c>
      <c r="H57" s="76">
        <v>-2.7</v>
      </c>
      <c r="I57" s="79"/>
      <c r="J57" s="75">
        <v>978699</v>
      </c>
      <c r="K57" s="76">
        <v>0.5</v>
      </c>
      <c r="L57" s="79"/>
      <c r="M57" s="75">
        <v>4766931</v>
      </c>
      <c r="N57" s="75">
        <v>4866495</v>
      </c>
      <c r="O57" s="76">
        <v>-2</v>
      </c>
      <c r="P57" s="79"/>
      <c r="Q57" s="78">
        <v>6795</v>
      </c>
    </row>
    <row r="58" spans="1:17" ht="9" customHeight="1">
      <c r="A58" s="65" t="s">
        <v>60</v>
      </c>
      <c r="B58" s="75">
        <v>3307714</v>
      </c>
      <c r="C58" s="75">
        <v>28319</v>
      </c>
      <c r="D58" s="75">
        <v>3279395</v>
      </c>
      <c r="E58" s="75">
        <v>49159</v>
      </c>
      <c r="F58" s="87">
        <v>3230236</v>
      </c>
      <c r="G58" s="75">
        <v>2630840</v>
      </c>
      <c r="H58" s="76">
        <v>2</v>
      </c>
      <c r="I58" s="79"/>
      <c r="J58" s="75">
        <v>599396</v>
      </c>
      <c r="K58" s="76">
        <v>-9.4</v>
      </c>
      <c r="L58" s="79"/>
      <c r="M58" s="75">
        <v>3230236</v>
      </c>
      <c r="N58" s="75">
        <v>3240403</v>
      </c>
      <c r="O58" s="76">
        <v>-0.3</v>
      </c>
      <c r="P58" s="79"/>
      <c r="Q58" s="78">
        <v>0</v>
      </c>
    </row>
    <row r="59" spans="1:17" ht="9" customHeight="1">
      <c r="A59" s="61" t="s">
        <v>61</v>
      </c>
      <c r="B59" s="80">
        <v>1106354</v>
      </c>
      <c r="C59" s="80">
        <v>0</v>
      </c>
      <c r="D59" s="80">
        <v>1106354</v>
      </c>
      <c r="E59" s="80">
        <v>5864</v>
      </c>
      <c r="F59" s="75">
        <v>1100490</v>
      </c>
      <c r="G59" s="80">
        <v>828311</v>
      </c>
      <c r="H59" s="81">
        <v>8.9</v>
      </c>
      <c r="I59" s="82"/>
      <c r="J59" s="80">
        <v>272179</v>
      </c>
      <c r="K59" s="81">
        <v>-5.2</v>
      </c>
      <c r="L59" s="82"/>
      <c r="M59" s="80">
        <v>1100490</v>
      </c>
      <c r="N59" s="80">
        <v>1047636</v>
      </c>
      <c r="O59" s="81">
        <v>5</v>
      </c>
      <c r="P59" s="82"/>
      <c r="Q59" s="83">
        <v>0</v>
      </c>
    </row>
    <row r="60" spans="1:17" ht="9" customHeight="1">
      <c r="A60" s="65" t="s">
        <v>62</v>
      </c>
      <c r="B60" s="75">
        <v>3196139</v>
      </c>
      <c r="C60" s="75">
        <v>33984</v>
      </c>
      <c r="D60" s="75">
        <v>3162155</v>
      </c>
      <c r="E60" s="75">
        <v>34406</v>
      </c>
      <c r="F60" s="75">
        <v>3127749</v>
      </c>
      <c r="G60" s="75">
        <v>2448963</v>
      </c>
      <c r="H60" s="76">
        <v>0.1</v>
      </c>
      <c r="I60" s="79"/>
      <c r="J60" s="75">
        <v>678786</v>
      </c>
      <c r="K60" s="76">
        <v>-8.6</v>
      </c>
      <c r="L60" s="79"/>
      <c r="M60" s="75">
        <v>3127749</v>
      </c>
      <c r="N60" s="75">
        <v>3188339</v>
      </c>
      <c r="O60" s="76">
        <v>-1.9</v>
      </c>
      <c r="P60" s="79"/>
      <c r="Q60" s="78">
        <v>0</v>
      </c>
    </row>
    <row r="61" spans="1:17" ht="9" customHeight="1">
      <c r="A61" s="73" t="s">
        <v>63</v>
      </c>
      <c r="B61" s="84">
        <v>694301</v>
      </c>
      <c r="C61" s="84">
        <v>2433</v>
      </c>
      <c r="D61" s="84">
        <v>691868</v>
      </c>
      <c r="E61" s="84">
        <v>36524</v>
      </c>
      <c r="F61" s="87">
        <v>655344</v>
      </c>
      <c r="G61" s="84">
        <v>329714</v>
      </c>
      <c r="H61" s="85">
        <v>3.8</v>
      </c>
      <c r="I61" s="86"/>
      <c r="J61" s="84">
        <v>325630</v>
      </c>
      <c r="K61" s="85">
        <v>-16.5</v>
      </c>
      <c r="L61" s="86"/>
      <c r="M61" s="84">
        <v>655344</v>
      </c>
      <c r="N61" s="84">
        <v>707405</v>
      </c>
      <c r="O61" s="85">
        <v>-7.4</v>
      </c>
      <c r="P61" s="86"/>
      <c r="Q61" s="87">
        <v>0</v>
      </c>
    </row>
    <row r="62" spans="1:17" ht="9" customHeight="1">
      <c r="A62" s="73" t="s">
        <v>64</v>
      </c>
      <c r="B62" s="84">
        <v>172244104</v>
      </c>
      <c r="C62" s="84">
        <v>2117733</v>
      </c>
      <c r="D62" s="84">
        <v>170126371</v>
      </c>
      <c r="E62" s="84">
        <v>991499</v>
      </c>
      <c r="F62" s="106">
        <v>169134872</v>
      </c>
      <c r="G62" s="84">
        <v>133366200</v>
      </c>
      <c r="H62" s="85">
        <v>0.1</v>
      </c>
      <c r="I62" s="86"/>
      <c r="J62" s="84">
        <v>35330296</v>
      </c>
      <c r="K62" s="85">
        <v>-6.9</v>
      </c>
      <c r="L62" s="86"/>
      <c r="M62" s="84">
        <v>168696496</v>
      </c>
      <c r="N62" s="84">
        <v>171229244</v>
      </c>
      <c r="O62" s="85">
        <v>-1.5</v>
      </c>
      <c r="P62" s="86"/>
      <c r="Q62" s="87">
        <v>438376</v>
      </c>
    </row>
    <row r="63" spans="1:17" ht="9" customHeight="1">
      <c r="A63" s="73" t="s">
        <v>65</v>
      </c>
      <c r="B63" s="85">
        <v>100</v>
      </c>
      <c r="C63" s="85">
        <v>1.229495205246619</v>
      </c>
      <c r="D63" s="85">
        <v>98.77050479475338</v>
      </c>
      <c r="E63" s="85">
        <v>0.5756359590688805</v>
      </c>
      <c r="F63" s="85">
        <v>98.1948688356845</v>
      </c>
      <c r="G63" s="85">
        <v>77.42860098131429</v>
      </c>
      <c r="H63" s="88" t="s">
        <v>79</v>
      </c>
      <c r="I63" s="89"/>
      <c r="J63" s="85">
        <v>20.511759287853476</v>
      </c>
      <c r="K63" s="88" t="s">
        <v>79</v>
      </c>
      <c r="L63" s="89"/>
      <c r="M63" s="85">
        <v>97.94036026916775</v>
      </c>
      <c r="N63" s="88" t="s">
        <v>79</v>
      </c>
      <c r="O63" s="88" t="s">
        <v>79</v>
      </c>
      <c r="P63" s="89"/>
      <c r="Q63" s="90">
        <v>0.25450856651673837</v>
      </c>
    </row>
    <row r="64" spans="1:17" ht="8.25">
      <c r="A64" s="65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2"/>
    </row>
    <row r="65" spans="1:17" ht="8.25">
      <c r="A65" s="93" t="s">
        <v>66</v>
      </c>
      <c r="B65" s="94"/>
      <c r="C65" s="94"/>
      <c r="D65" s="94"/>
      <c r="E65" s="94"/>
      <c r="F65" s="94"/>
      <c r="G65" s="91"/>
      <c r="H65" s="91" t="s">
        <v>91</v>
      </c>
      <c r="I65" s="94"/>
      <c r="J65" s="94"/>
      <c r="K65" s="94"/>
      <c r="L65" s="94"/>
      <c r="M65" s="94"/>
      <c r="N65" s="94"/>
      <c r="O65" s="94"/>
      <c r="P65" s="94"/>
      <c r="Q65" s="95"/>
    </row>
    <row r="66" spans="1:17" ht="8.25">
      <c r="A66" s="93" t="s">
        <v>67</v>
      </c>
      <c r="B66" s="94"/>
      <c r="C66" s="94"/>
      <c r="D66" s="94"/>
      <c r="E66" s="94"/>
      <c r="F66" s="94"/>
      <c r="G66" s="91"/>
      <c r="H66" s="91" t="s">
        <v>69</v>
      </c>
      <c r="I66" s="94"/>
      <c r="J66" s="94"/>
      <c r="K66" s="94"/>
      <c r="L66" s="94"/>
      <c r="M66" s="94"/>
      <c r="N66" s="94"/>
      <c r="O66" s="94"/>
      <c r="P66" s="94"/>
      <c r="Q66" s="95"/>
    </row>
    <row r="67" spans="1:17" ht="8.25">
      <c r="A67" s="93" t="s">
        <v>68</v>
      </c>
      <c r="B67" s="94"/>
      <c r="C67" s="94"/>
      <c r="D67" s="94"/>
      <c r="E67" s="94"/>
      <c r="F67" s="94"/>
      <c r="G67" s="91"/>
      <c r="H67" s="91" t="s">
        <v>71</v>
      </c>
      <c r="I67" s="94"/>
      <c r="J67" s="94"/>
      <c r="K67" s="94"/>
      <c r="L67" s="94"/>
      <c r="M67" s="94"/>
      <c r="N67" s="94"/>
      <c r="O67" s="94"/>
      <c r="P67" s="94"/>
      <c r="Q67" s="95"/>
    </row>
    <row r="68" spans="1:17" ht="8.25">
      <c r="A68" s="93" t="s">
        <v>70</v>
      </c>
      <c r="B68" s="94"/>
      <c r="C68" s="94"/>
      <c r="D68" s="94"/>
      <c r="E68" s="94"/>
      <c r="F68" s="94"/>
      <c r="G68" s="91"/>
      <c r="H68" s="91" t="s">
        <v>73</v>
      </c>
      <c r="I68" s="94"/>
      <c r="J68" s="94"/>
      <c r="K68" s="94"/>
      <c r="L68" s="94"/>
      <c r="M68" s="94"/>
      <c r="N68" s="94"/>
      <c r="O68" s="94"/>
      <c r="P68" s="94"/>
      <c r="Q68" s="95"/>
    </row>
    <row r="69" spans="1:17" ht="8.25">
      <c r="A69" s="93" t="s">
        <v>72</v>
      </c>
      <c r="B69" s="94"/>
      <c r="C69" s="94"/>
      <c r="D69" s="94"/>
      <c r="E69" s="94"/>
      <c r="F69" s="94"/>
      <c r="G69" s="91"/>
      <c r="H69" s="91" t="s">
        <v>75</v>
      </c>
      <c r="I69" s="94"/>
      <c r="J69" s="94"/>
      <c r="K69" s="94"/>
      <c r="L69" s="94"/>
      <c r="M69" s="94"/>
      <c r="N69" s="94"/>
      <c r="O69" s="94"/>
      <c r="P69" s="94"/>
      <c r="Q69" s="95"/>
    </row>
    <row r="70" spans="1:17" ht="8.25">
      <c r="A70" s="93" t="s">
        <v>74</v>
      </c>
      <c r="B70" s="94"/>
      <c r="C70" s="94"/>
      <c r="D70" s="94"/>
      <c r="E70" s="94"/>
      <c r="F70" s="94"/>
      <c r="G70" s="91"/>
      <c r="H70" s="91" t="s">
        <v>77</v>
      </c>
      <c r="I70" s="94"/>
      <c r="J70" s="94"/>
      <c r="K70" s="94"/>
      <c r="L70" s="94"/>
      <c r="M70" s="94"/>
      <c r="N70" s="94"/>
      <c r="O70" s="94"/>
      <c r="P70" s="94"/>
      <c r="Q70" s="95"/>
    </row>
    <row r="71" spans="1:17" ht="8.25">
      <c r="A71" s="93" t="s">
        <v>76</v>
      </c>
      <c r="B71" s="94"/>
      <c r="C71" s="94"/>
      <c r="D71" s="94"/>
      <c r="E71" s="94"/>
      <c r="F71" s="94"/>
      <c r="G71" s="91"/>
      <c r="H71" s="96"/>
      <c r="I71" s="94"/>
      <c r="J71" s="94"/>
      <c r="K71" s="94"/>
      <c r="L71" s="94"/>
      <c r="M71" s="94"/>
      <c r="N71" s="94"/>
      <c r="O71" s="94"/>
      <c r="P71" s="94"/>
      <c r="Q71" s="95"/>
    </row>
    <row r="72" spans="1:17" ht="8.25">
      <c r="A72" s="103" t="s">
        <v>78</v>
      </c>
      <c r="B72" s="68"/>
      <c r="C72" s="68"/>
      <c r="D72" s="68"/>
      <c r="E72" s="68"/>
      <c r="F72" s="68"/>
      <c r="G72" s="104"/>
      <c r="H72" s="104"/>
      <c r="I72" s="68"/>
      <c r="J72" s="68"/>
      <c r="K72" s="68"/>
      <c r="L72" s="68"/>
      <c r="M72" s="68"/>
      <c r="N72" s="68"/>
      <c r="O72" s="68"/>
      <c r="P72" s="68"/>
      <c r="Q72" s="105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USDOT User</cp:lastModifiedBy>
  <cp:lastPrinted>2010-11-23T18:58:26Z</cp:lastPrinted>
  <dcterms:created xsi:type="dcterms:W3CDTF">2000-10-20T17:50:08Z</dcterms:created>
  <dcterms:modified xsi:type="dcterms:W3CDTF">2010-11-24T13:04:12Z</dcterms:modified>
  <cp:category/>
  <cp:version/>
  <cp:contentType/>
  <cp:contentStatus/>
</cp:coreProperties>
</file>