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/>
  </bookViews>
  <sheets>
    <sheet name="National" sheetId="102" r:id="rId1"/>
    <sheet name="AL" sheetId="2" r:id="rId2"/>
    <sheet name="AK" sheetId="3" r:id="rId3"/>
    <sheet name="AZ" sheetId="4" r:id="rId4"/>
    <sheet name="AR" sheetId="5" r:id="rId5"/>
    <sheet name="CA" sheetId="54" r:id="rId6"/>
    <sheet name="CO" sheetId="55" r:id="rId7"/>
    <sheet name="CT" sheetId="56" r:id="rId8"/>
    <sheet name="DE" sheetId="57" r:id="rId9"/>
    <sheet name="DC" sheetId="58" r:id="rId10"/>
    <sheet name="FL" sheetId="59" r:id="rId11"/>
    <sheet name="GA" sheetId="60" r:id="rId12"/>
    <sheet name="HI" sheetId="61" r:id="rId13"/>
    <sheet name="ID" sheetId="62" r:id="rId14"/>
    <sheet name="IL" sheetId="63" r:id="rId15"/>
    <sheet name="IN" sheetId="64" r:id="rId16"/>
    <sheet name="IA" sheetId="65" r:id="rId17"/>
    <sheet name="KS" sheetId="66" r:id="rId18"/>
    <sheet name="KY" sheetId="67" r:id="rId19"/>
    <sheet name="LA" sheetId="68" r:id="rId20"/>
    <sheet name="ME" sheetId="69" r:id="rId21"/>
    <sheet name="MD" sheetId="70" r:id="rId22"/>
    <sheet name="MA" sheetId="71" r:id="rId23"/>
    <sheet name="MI" sheetId="72" r:id="rId24"/>
    <sheet name="MN" sheetId="73" r:id="rId25"/>
    <sheet name="MS" sheetId="74" r:id="rId26"/>
    <sheet name="MO" sheetId="75" r:id="rId27"/>
    <sheet name="MT" sheetId="76" r:id="rId28"/>
    <sheet name="NE" sheetId="77" r:id="rId29"/>
    <sheet name="NV" sheetId="78" r:id="rId30"/>
    <sheet name="NH" sheetId="79" r:id="rId31"/>
    <sheet name="NJ" sheetId="80" r:id="rId32"/>
    <sheet name="NM" sheetId="81" r:id="rId33"/>
    <sheet name="NY" sheetId="82" r:id="rId34"/>
    <sheet name="NC" sheetId="83" r:id="rId35"/>
    <sheet name="ND" sheetId="84" r:id="rId36"/>
    <sheet name="OH" sheetId="85" r:id="rId37"/>
    <sheet name="OK" sheetId="86" r:id="rId38"/>
    <sheet name="OR" sheetId="87" r:id="rId39"/>
    <sheet name="PA" sheetId="88" r:id="rId40"/>
    <sheet name="RI" sheetId="89" r:id="rId41"/>
    <sheet name="SC" sheetId="90" r:id="rId42"/>
    <sheet name="SD" sheetId="91" r:id="rId43"/>
    <sheet name="TN" sheetId="92" r:id="rId44"/>
    <sheet name="TX" sheetId="93" r:id="rId45"/>
    <sheet name="UT" sheetId="94" r:id="rId46"/>
    <sheet name="VT" sheetId="95" r:id="rId47"/>
    <sheet name="VA" sheetId="96" r:id="rId48"/>
    <sheet name="WA" sheetId="97" r:id="rId49"/>
    <sheet name="WV" sheetId="98" r:id="rId50"/>
    <sheet name="WI" sheetId="99" r:id="rId51"/>
    <sheet name="WY" sheetId="100" r:id="rId52"/>
    <sheet name="MAP" sheetId="101" r:id="rId53"/>
  </sheets>
  <definedNames>
    <definedName name="_xlnm.Print_Area" localSheetId="2">AK!$A$1:$H$57</definedName>
    <definedName name="_xlnm.Print_Area" localSheetId="1">AL!$A$1:$H$57</definedName>
    <definedName name="_xlnm.Print_Area" localSheetId="4">AR!$A$1:$G$57</definedName>
    <definedName name="_xlnm.Print_Area" localSheetId="3">AZ!$A$1:$G$57</definedName>
    <definedName name="_xlnm.Print_Area" localSheetId="5">CA!$A$1:$G$57</definedName>
    <definedName name="_xlnm.Print_Area" localSheetId="6">CO!$A$1:$G$57</definedName>
    <definedName name="_xlnm.Print_Area" localSheetId="7">CT!$A$1:$G$57</definedName>
    <definedName name="_xlnm.Print_Area" localSheetId="12">HI!$A$1:$G$57</definedName>
    <definedName name="_xlnm.Print_Area" localSheetId="13">ID!$A$1:$G$57</definedName>
    <definedName name="_xlnm.Print_Area" localSheetId="35">ND!$A$1:$G$57</definedName>
    <definedName name="_xlnm.Print_Area" localSheetId="32">NM!$A$1:$G$57</definedName>
    <definedName name="_xlnm.Print_Area" localSheetId="29">NV!$A$1:$G$57</definedName>
    <definedName name="_xlnm.Print_Area" localSheetId="37">OK!$A$1:$G$57</definedName>
    <definedName name="_xlnm.Print_Area" localSheetId="40">RI!$A$1:$G$57</definedName>
    <definedName name="_xlnm.Print_Area" localSheetId="41">SC!$A$1:$G$57</definedName>
    <definedName name="_xlnm.Print_Area" localSheetId="45">UT!$A$1:$G$57</definedName>
    <definedName name="_xlnm.Print_Area" localSheetId="46">VT!$A$1:$G$57</definedName>
    <definedName name="_xlnm.Print_Area" localSheetId="50">WI!$A$1:$G$57</definedName>
    <definedName name="_xlnm.Print_Area" localSheetId="51">WY!$A$1:$G$57</definedName>
  </definedNames>
  <calcPr calcId="125725"/>
</workbook>
</file>

<file path=xl/calcChain.xml><?xml version="1.0" encoding="utf-8"?>
<calcChain xmlns="http://schemas.openxmlformats.org/spreadsheetml/2006/main">
  <c r="G10" i="100"/>
  <c r="G9"/>
  <c r="G8"/>
  <c r="G10" i="99"/>
  <c r="G9"/>
  <c r="G8"/>
  <c r="G10" i="98"/>
  <c r="G9"/>
  <c r="G8"/>
  <c r="G10" i="97"/>
  <c r="G9"/>
  <c r="G8"/>
  <c r="G10" i="96"/>
  <c r="G9"/>
  <c r="G8"/>
  <c r="G10" i="95"/>
  <c r="G9"/>
  <c r="G8"/>
  <c r="G10" i="94"/>
  <c r="G9"/>
  <c r="G8"/>
  <c r="G10" i="93"/>
  <c r="G9"/>
  <c r="G8"/>
  <c r="G10" i="92"/>
  <c r="G9"/>
  <c r="G8"/>
  <c r="G10" i="91"/>
  <c r="G9"/>
  <c r="G8"/>
  <c r="G10" i="90"/>
  <c r="G9"/>
  <c r="G8"/>
  <c r="G10" i="89"/>
  <c r="G9"/>
  <c r="G8"/>
  <c r="G10" i="88"/>
  <c r="G9"/>
  <c r="G8"/>
  <c r="G10" i="87"/>
  <c r="G9"/>
  <c r="G8"/>
  <c r="G10" i="86"/>
  <c r="G9"/>
  <c r="G8"/>
  <c r="G10" i="85"/>
  <c r="G9"/>
  <c r="G8"/>
  <c r="G10" i="84"/>
  <c r="G9"/>
  <c r="G8"/>
  <c r="G10" i="83"/>
  <c r="G9"/>
  <c r="G8"/>
  <c r="G9" i="82"/>
  <c r="G8"/>
  <c r="G10" i="81"/>
  <c r="G9"/>
  <c r="G8"/>
  <c r="G10" i="80"/>
  <c r="G9"/>
  <c r="G8"/>
  <c r="G9" i="79"/>
  <c r="G8"/>
  <c r="G10" i="78"/>
  <c r="G9"/>
  <c r="G8"/>
  <c r="G10" i="77"/>
  <c r="G9"/>
  <c r="G8"/>
  <c r="G10" i="76"/>
  <c r="G9"/>
  <c r="G8"/>
  <c r="G10" i="75"/>
  <c r="G9"/>
  <c r="G8"/>
  <c r="G10" i="74"/>
  <c r="G9"/>
  <c r="G8"/>
  <c r="G10" i="73"/>
  <c r="G9"/>
  <c r="G8"/>
  <c r="G9" i="72"/>
  <c r="G8"/>
  <c r="G10" i="71"/>
  <c r="G9"/>
  <c r="G8"/>
  <c r="G9" i="70"/>
  <c r="G8"/>
  <c r="G10" i="69"/>
  <c r="G9"/>
  <c r="G8"/>
  <c r="G10" i="68"/>
  <c r="G9"/>
  <c r="G8"/>
  <c r="G10" i="67"/>
  <c r="G9"/>
  <c r="G8"/>
  <c r="G10" i="66"/>
  <c r="G9"/>
  <c r="G8"/>
  <c r="G10" i="65"/>
  <c r="G9"/>
  <c r="G8"/>
  <c r="G10" i="64"/>
  <c r="G9"/>
  <c r="G8"/>
  <c r="G10" i="63"/>
  <c r="G9"/>
  <c r="G8"/>
  <c r="G10" i="62"/>
  <c r="G9"/>
  <c r="G8"/>
  <c r="G10" i="61"/>
  <c r="G9"/>
  <c r="G8"/>
  <c r="G10" i="60"/>
  <c r="G9"/>
  <c r="G8"/>
  <c r="G10" i="59"/>
  <c r="G9"/>
  <c r="G8"/>
  <c r="G10" i="58"/>
  <c r="G9"/>
  <c r="G8"/>
  <c r="G10" i="57"/>
  <c r="G9"/>
  <c r="G8"/>
  <c r="G10" i="56"/>
  <c r="G9"/>
  <c r="G8"/>
  <c r="G10" i="55"/>
  <c r="G9"/>
  <c r="G8"/>
  <c r="G10" i="54"/>
  <c r="G9"/>
  <c r="G8"/>
  <c r="G10" i="5"/>
  <c r="G9"/>
  <c r="G8"/>
  <c r="G10" i="4"/>
  <c r="G9"/>
  <c r="G8"/>
  <c r="G10" i="3"/>
  <c r="G9"/>
  <c r="G8"/>
  <c r="G10" i="2"/>
  <c r="G9"/>
  <c r="G8"/>
  <c r="G10" i="102"/>
  <c r="G9"/>
  <c r="G8"/>
  <c r="H13" i="74"/>
  <c r="H17" i="71"/>
  <c r="H15"/>
  <c r="H51" i="68"/>
  <c r="H50"/>
  <c r="H52" s="1"/>
  <c r="H46"/>
  <c r="H45"/>
  <c r="H44"/>
  <c r="H43"/>
  <c r="H42"/>
  <c r="H41"/>
  <c r="H47" s="1"/>
  <c r="H37"/>
  <c r="H36"/>
  <c r="H35"/>
  <c r="H34"/>
  <c r="H33"/>
  <c r="H32"/>
  <c r="H38" s="1"/>
  <c r="H31"/>
  <c r="H22"/>
  <c r="H21"/>
  <c r="H23" s="1"/>
  <c r="H20"/>
  <c r="H5"/>
  <c r="H4"/>
  <c r="H6" s="1"/>
  <c r="H51" i="67"/>
  <c r="H50"/>
  <c r="H52" s="1"/>
  <c r="H46"/>
  <c r="H45"/>
  <c r="H44"/>
  <c r="H43"/>
  <c r="H42"/>
  <c r="H41"/>
  <c r="H47" s="1"/>
  <c r="H37"/>
  <c r="H36"/>
  <c r="H35"/>
  <c r="H34"/>
  <c r="H33"/>
  <c r="H32"/>
  <c r="H38" s="1"/>
  <c r="H31"/>
  <c r="H22"/>
  <c r="H21"/>
  <c r="H23" s="1"/>
  <c r="H20"/>
  <c r="H5"/>
  <c r="H4"/>
  <c r="H6" s="1"/>
  <c r="H51" i="66"/>
  <c r="H50"/>
  <c r="H52" s="1"/>
  <c r="H46"/>
  <c r="H45"/>
  <c r="H44"/>
  <c r="H43"/>
  <c r="H42"/>
  <c r="H41"/>
  <c r="H47" s="1"/>
  <c r="H37"/>
  <c r="H36"/>
  <c r="H35"/>
  <c r="H34"/>
  <c r="H33"/>
  <c r="H32"/>
  <c r="H31"/>
  <c r="H38" s="1"/>
  <c r="H22"/>
  <c r="H21"/>
  <c r="H20"/>
  <c r="H23" s="1"/>
  <c r="H5"/>
  <c r="H4"/>
  <c r="H6" s="1"/>
  <c r="H14" i="60"/>
  <c r="G18" i="100"/>
  <c r="H15" s="1"/>
  <c r="G18" i="99"/>
  <c r="H15" s="1"/>
  <c r="G18" i="98"/>
  <c r="H15" s="1"/>
  <c r="G18" i="97"/>
  <c r="H15" s="1"/>
  <c r="G18" i="96"/>
  <c r="H15" s="1"/>
  <c r="G18" i="95"/>
  <c r="H15" s="1"/>
  <c r="G18" i="94"/>
  <c r="H15" s="1"/>
  <c r="G18" i="93"/>
  <c r="H17" s="1"/>
  <c r="G18" i="92"/>
  <c r="H15" s="1"/>
  <c r="G18" i="91"/>
  <c r="H15" s="1"/>
  <c r="G18" i="90"/>
  <c r="H15" s="1"/>
  <c r="G18" i="89"/>
  <c r="H17" s="1"/>
  <c r="G18" i="88"/>
  <c r="H13" s="1"/>
  <c r="G18" i="87"/>
  <c r="H13" s="1"/>
  <c r="G18" i="86"/>
  <c r="H15" s="1"/>
  <c r="G18" i="85"/>
  <c r="H15" s="1"/>
  <c r="G18" i="84"/>
  <c r="H15" s="1"/>
  <c r="G18" i="83"/>
  <c r="H15" s="1"/>
  <c r="G18" i="82"/>
  <c r="H15" s="1"/>
  <c r="G18" i="81"/>
  <c r="H13" s="1"/>
  <c r="G18" i="80"/>
  <c r="H13" s="1"/>
  <c r="G18" i="79"/>
  <c r="H15" s="1"/>
  <c r="G18" i="78"/>
  <c r="H15" s="1"/>
  <c r="G18" i="77"/>
  <c r="H15" s="1"/>
  <c r="G18" i="76"/>
  <c r="H17" s="1"/>
  <c r="G18" i="75"/>
  <c r="H15" s="1"/>
  <c r="G18" i="74"/>
  <c r="H14" s="1"/>
  <c r="G18" i="73"/>
  <c r="H17" s="1"/>
  <c r="G18" i="72"/>
  <c r="H15" s="1"/>
  <c r="G18" i="71"/>
  <c r="H13" s="1"/>
  <c r="G18" i="70"/>
  <c r="H15" s="1"/>
  <c r="G18" i="69"/>
  <c r="H15" s="1"/>
  <c r="G18" i="68"/>
  <c r="H15" s="1"/>
  <c r="G18" i="67"/>
  <c r="H15" s="1"/>
  <c r="G18" i="66"/>
  <c r="H15" s="1"/>
  <c r="G18" i="65"/>
  <c r="H13" s="1"/>
  <c r="G18" i="64"/>
  <c r="H15" s="1"/>
  <c r="G18" i="63"/>
  <c r="H15" s="1"/>
  <c r="G18" i="62"/>
  <c r="H15" s="1"/>
  <c r="G18" i="61"/>
  <c r="H13" s="1"/>
  <c r="G18" i="60"/>
  <c r="H15" s="1"/>
  <c r="G18" i="59"/>
  <c r="H13" s="1"/>
  <c r="G18" i="58"/>
  <c r="H13" s="1"/>
  <c r="G18" i="57"/>
  <c r="H15" s="1"/>
  <c r="G18" i="56"/>
  <c r="H15" s="1"/>
  <c r="G18" i="55"/>
  <c r="H15" s="1"/>
  <c r="G16" i="3"/>
  <c r="G18" s="1"/>
  <c r="C12" i="4"/>
  <c r="C11"/>
  <c r="C8" i="2"/>
  <c r="C9"/>
  <c r="C10"/>
  <c r="C11"/>
  <c r="C12"/>
  <c r="C15"/>
  <c r="C16"/>
  <c r="C17" s="1"/>
  <c r="C20"/>
  <c r="C21"/>
  <c r="C22"/>
  <c r="C23"/>
  <c r="C24"/>
  <c r="C25"/>
  <c r="C26"/>
  <c r="C29"/>
  <c r="C34" s="1"/>
  <c r="C30"/>
  <c r="C31"/>
  <c r="C32"/>
  <c r="C33"/>
  <c r="C37"/>
  <c r="C38"/>
  <c r="C39"/>
  <c r="C40"/>
  <c r="C43" s="1"/>
  <c r="C41"/>
  <c r="C42"/>
  <c r="C46"/>
  <c r="C48" s="1"/>
  <c r="C47"/>
  <c r="C51"/>
  <c r="C57" s="1"/>
  <c r="C52"/>
  <c r="C53"/>
  <c r="C54"/>
  <c r="C55"/>
  <c r="C56"/>
  <c r="H14" i="62" l="1"/>
  <c r="H17" i="95"/>
  <c r="H13"/>
  <c r="H15" i="93"/>
  <c r="H13"/>
  <c r="H17" i="91"/>
  <c r="H13"/>
  <c r="H17" i="90"/>
  <c r="H13"/>
  <c r="H15" i="89"/>
  <c r="H13"/>
  <c r="H17" i="88"/>
  <c r="H15"/>
  <c r="H17" i="87"/>
  <c r="H15"/>
  <c r="H17" i="86"/>
  <c r="H13"/>
  <c r="H17" i="83"/>
  <c r="H13"/>
  <c r="H17" i="80"/>
  <c r="H15"/>
  <c r="H14" i="78"/>
  <c r="H13" i="77"/>
  <c r="H14" i="75"/>
  <c r="H13"/>
  <c r="H15" i="73"/>
  <c r="H14"/>
  <c r="H14" i="72"/>
  <c r="H17" i="69"/>
  <c r="H13"/>
  <c r="H14" i="68"/>
  <c r="H13"/>
  <c r="H18" s="1"/>
  <c r="H17"/>
  <c r="H14" i="67"/>
  <c r="H13"/>
  <c r="H18" s="1"/>
  <c r="H17"/>
  <c r="H14" i="66"/>
  <c r="H13"/>
  <c r="H18" s="1"/>
  <c r="H17"/>
  <c r="H17" i="65"/>
  <c r="H17" i="63"/>
  <c r="H13"/>
  <c r="H13" i="62"/>
  <c r="H17" i="61"/>
  <c r="H15"/>
  <c r="H17" i="58"/>
  <c r="H15"/>
  <c r="H17" i="57"/>
  <c r="H13"/>
  <c r="H17" i="56"/>
  <c r="H14" i="100"/>
  <c r="H13"/>
  <c r="H18" s="1"/>
  <c r="H17"/>
  <c r="H14" i="99"/>
  <c r="H13"/>
  <c r="H18" s="1"/>
  <c r="H17"/>
  <c r="H14" i="98"/>
  <c r="H13"/>
  <c r="H18" s="1"/>
  <c r="H17"/>
  <c r="H14" i="97"/>
  <c r="H13"/>
  <c r="H18" s="1"/>
  <c r="H17"/>
  <c r="H14" i="96"/>
  <c r="H13"/>
  <c r="H18" s="1"/>
  <c r="H17"/>
  <c r="H14" i="95"/>
  <c r="H18"/>
  <c r="H14" i="94"/>
  <c r="H13"/>
  <c r="H17"/>
  <c r="H14" i="93"/>
  <c r="H18" s="1"/>
  <c r="H17" i="92"/>
  <c r="H14"/>
  <c r="H13"/>
  <c r="H18" s="1"/>
  <c r="H14" i="91"/>
  <c r="H18" s="1"/>
  <c r="H14" i="90"/>
  <c r="H18"/>
  <c r="H14" i="89"/>
  <c r="H18" s="1"/>
  <c r="H14" i="88"/>
  <c r="H18" s="1"/>
  <c r="H14" i="87"/>
  <c r="H18" s="1"/>
  <c r="H14" i="86"/>
  <c r="H18" s="1"/>
  <c r="H14" i="85"/>
  <c r="H17"/>
  <c r="H13"/>
  <c r="H18" s="1"/>
  <c r="H13" i="84"/>
  <c r="H14"/>
  <c r="H17"/>
  <c r="H14" i="83"/>
  <c r="H18" s="1"/>
  <c r="H13" i="82"/>
  <c r="H14"/>
  <c r="H17"/>
  <c r="H14" i="81"/>
  <c r="H18" s="1"/>
  <c r="H17"/>
  <c r="H15"/>
  <c r="H14" i="80"/>
  <c r="H18" s="1"/>
  <c r="H14" i="79"/>
  <c r="H13"/>
  <c r="H18" s="1"/>
  <c r="H17"/>
  <c r="H13" i="78"/>
  <c r="H18" s="1"/>
  <c r="H17"/>
  <c r="H14" i="77"/>
  <c r="H18" s="1"/>
  <c r="H17"/>
  <c r="H14" i="76"/>
  <c r="H13"/>
  <c r="H18" s="1"/>
  <c r="H15"/>
  <c r="H17" i="75"/>
  <c r="H18"/>
  <c r="H17" i="74"/>
  <c r="H15"/>
  <c r="H18" s="1"/>
  <c r="H13" i="73"/>
  <c r="H18" s="1"/>
  <c r="H17" i="72"/>
  <c r="H13"/>
  <c r="H14" i="71"/>
  <c r="H18" s="1"/>
  <c r="H13" i="70"/>
  <c r="H14"/>
  <c r="H17"/>
  <c r="H14" i="69"/>
  <c r="H18" s="1"/>
  <c r="H14" i="65"/>
  <c r="H15"/>
  <c r="H18" s="1"/>
  <c r="H14" i="64"/>
  <c r="H17"/>
  <c r="H13"/>
  <c r="H18" s="1"/>
  <c r="H14" i="63"/>
  <c r="H18" s="1"/>
  <c r="H17" i="62"/>
  <c r="H18" s="1"/>
  <c r="H18" i="61"/>
  <c r="H14"/>
  <c r="H17" i="60"/>
  <c r="H13"/>
  <c r="H18" s="1"/>
  <c r="H17" i="59"/>
  <c r="H15"/>
  <c r="H14"/>
  <c r="H18" i="58"/>
  <c r="H14"/>
  <c r="H14" i="57"/>
  <c r="H18" s="1"/>
  <c r="H13" i="56"/>
  <c r="H14"/>
  <c r="H14" i="55"/>
  <c r="H13"/>
  <c r="H18" s="1"/>
  <c r="H17"/>
  <c r="H14" i="3"/>
  <c r="H15"/>
  <c r="H13"/>
  <c r="H17"/>
  <c r="C12" i="100"/>
  <c r="C11"/>
  <c r="C12" i="99"/>
  <c r="C11"/>
  <c r="C12" i="98"/>
  <c r="C11"/>
  <c r="C12" i="97"/>
  <c r="C11"/>
  <c r="C12" i="96"/>
  <c r="C11"/>
  <c r="C12" i="95"/>
  <c r="C11"/>
  <c r="C12" i="94"/>
  <c r="C11"/>
  <c r="C12" i="93"/>
  <c r="C11"/>
  <c r="C12" i="92"/>
  <c r="C11"/>
  <c r="C12" i="91"/>
  <c r="C11"/>
  <c r="C12" i="90"/>
  <c r="C11"/>
  <c r="C12" i="89"/>
  <c r="C11"/>
  <c r="C12" i="88"/>
  <c r="C11"/>
  <c r="C12" i="87"/>
  <c r="C11"/>
  <c r="C12" i="86"/>
  <c r="C11"/>
  <c r="C12" i="85"/>
  <c r="C11"/>
  <c r="C12" i="84"/>
  <c r="C11"/>
  <c r="C12" i="83"/>
  <c r="C11"/>
  <c r="C12" i="82"/>
  <c r="C11"/>
  <c r="C12" i="81"/>
  <c r="C11"/>
  <c r="C12" i="80"/>
  <c r="C11"/>
  <c r="C12" i="79"/>
  <c r="C11"/>
  <c r="C12" i="78"/>
  <c r="C11"/>
  <c r="C12" i="77"/>
  <c r="C11"/>
  <c r="C12" i="76"/>
  <c r="C11"/>
  <c r="C12" i="75"/>
  <c r="C11"/>
  <c r="C12" i="74"/>
  <c r="C11"/>
  <c r="C12" i="73"/>
  <c r="C11"/>
  <c r="C12" i="72"/>
  <c r="C11"/>
  <c r="C12" i="71"/>
  <c r="C11"/>
  <c r="C12" i="70"/>
  <c r="C11"/>
  <c r="C12" i="69"/>
  <c r="C11"/>
  <c r="C56" i="68"/>
  <c r="C55"/>
  <c r="C54"/>
  <c r="C53"/>
  <c r="C52"/>
  <c r="C51"/>
  <c r="C57" s="1"/>
  <c r="C47"/>
  <c r="C46"/>
  <c r="C48" s="1"/>
  <c r="C42"/>
  <c r="C41"/>
  <c r="C40"/>
  <c r="C39"/>
  <c r="C38"/>
  <c r="C37"/>
  <c r="C43" s="1"/>
  <c r="C33"/>
  <c r="C32"/>
  <c r="C31"/>
  <c r="C30"/>
  <c r="C29"/>
  <c r="C34" s="1"/>
  <c r="C25"/>
  <c r="C24"/>
  <c r="C23"/>
  <c r="C22"/>
  <c r="C21"/>
  <c r="C20"/>
  <c r="C26" s="1"/>
  <c r="C16"/>
  <c r="C15"/>
  <c r="C17" s="1"/>
  <c r="C12"/>
  <c r="C11"/>
  <c r="C9"/>
  <c r="C8"/>
  <c r="C10" s="1"/>
  <c r="C12" i="67"/>
  <c r="C11"/>
  <c r="C56" i="66"/>
  <c r="C55"/>
  <c r="C54"/>
  <c r="C53"/>
  <c r="C52"/>
  <c r="C51"/>
  <c r="C57" s="1"/>
  <c r="C47"/>
  <c r="C46"/>
  <c r="C48" s="1"/>
  <c r="C42"/>
  <c r="C41"/>
  <c r="C40"/>
  <c r="C39"/>
  <c r="C38"/>
  <c r="C37"/>
  <c r="C43" s="1"/>
  <c r="C33"/>
  <c r="C32"/>
  <c r="C31"/>
  <c r="C30"/>
  <c r="C34" s="1"/>
  <c r="C29"/>
  <c r="C25"/>
  <c r="C24"/>
  <c r="C23"/>
  <c r="C22"/>
  <c r="C21"/>
  <c r="C20"/>
  <c r="C26" s="1"/>
  <c r="C16"/>
  <c r="C15"/>
  <c r="C17" s="1"/>
  <c r="C12"/>
  <c r="C11"/>
  <c r="C9"/>
  <c r="C8"/>
  <c r="C10" s="1"/>
  <c r="C12" i="65"/>
  <c r="C11"/>
  <c r="C12" i="64"/>
  <c r="C11"/>
  <c r="C12" i="63"/>
  <c r="C11"/>
  <c r="C12" i="62"/>
  <c r="C11"/>
  <c r="C12" i="61"/>
  <c r="C11"/>
  <c r="C12" i="60"/>
  <c r="C11"/>
  <c r="C12" i="59"/>
  <c r="C11"/>
  <c r="C12" i="58"/>
  <c r="C11"/>
  <c r="C12" i="57"/>
  <c r="C11"/>
  <c r="C12" i="56"/>
  <c r="C11"/>
  <c r="C12" i="55"/>
  <c r="C11"/>
  <c r="C12" i="54"/>
  <c r="C11"/>
  <c r="C12" i="5"/>
  <c r="C11"/>
  <c r="C12" i="3"/>
  <c r="C11"/>
  <c r="H52" i="2"/>
  <c r="H51"/>
  <c r="H50"/>
  <c r="H47"/>
  <c r="H46"/>
  <c r="H45"/>
  <c r="H44"/>
  <c r="H43"/>
  <c r="H42"/>
  <c r="H41"/>
  <c r="H38"/>
  <c r="H37"/>
  <c r="H36"/>
  <c r="H35"/>
  <c r="H34"/>
  <c r="H33"/>
  <c r="H32"/>
  <c r="H31"/>
  <c r="H18" i="72" l="1"/>
  <c r="H18" i="59"/>
  <c r="H18" i="56"/>
  <c r="H18" i="94"/>
  <c r="H18" i="84"/>
  <c r="H18" i="82"/>
  <c r="H18" i="70"/>
  <c r="H18" i="3"/>
  <c r="H23" i="2"/>
  <c r="G18"/>
  <c r="H17" s="1"/>
  <c r="H6"/>
  <c r="H22"/>
  <c r="H21"/>
  <c r="H20"/>
  <c r="H5"/>
  <c r="H4"/>
  <c r="H15" l="1"/>
  <c r="H14"/>
  <c r="H13"/>
  <c r="G53" i="102"/>
  <c r="G52"/>
  <c r="G47"/>
  <c r="G46"/>
  <c r="G45"/>
  <c r="G44"/>
  <c r="G43"/>
  <c r="G42"/>
  <c r="G37"/>
  <c r="G36"/>
  <c r="G35"/>
  <c r="G34"/>
  <c r="G33"/>
  <c r="G32"/>
  <c r="G31"/>
  <c r="G28"/>
  <c r="G27"/>
  <c r="G22"/>
  <c r="G15"/>
  <c r="G14"/>
  <c r="G13"/>
  <c r="G5"/>
  <c r="G4"/>
  <c r="G38"/>
  <c r="B48"/>
  <c r="B49"/>
  <c r="G17"/>
  <c r="B17" i="4"/>
  <c r="B31" i="3"/>
  <c r="B23" i="74"/>
  <c r="B24" i="73"/>
  <c r="B23"/>
  <c r="B31"/>
  <c r="B23" i="72"/>
  <c r="B31" i="71"/>
  <c r="B30" i="70"/>
  <c r="B23" i="69"/>
  <c r="B24" i="68"/>
  <c r="B23"/>
  <c r="B24" i="67"/>
  <c r="B24" i="66"/>
  <c r="B23"/>
  <c r="B23" i="65"/>
  <c r="B22"/>
  <c r="B21"/>
  <c r="B31" i="63"/>
  <c r="B23" i="62"/>
  <c r="B24" i="61"/>
  <c r="B23"/>
  <c r="B22"/>
  <c r="B24" i="60"/>
  <c r="B23"/>
  <c r="B24" i="59"/>
  <c r="B23" i="57"/>
  <c r="B24" i="56"/>
  <c r="B23"/>
  <c r="B24" i="54"/>
  <c r="B29"/>
  <c r="B23" i="5"/>
  <c r="B22"/>
  <c r="B21" i="2"/>
  <c r="B38" i="80"/>
  <c r="B30" i="5"/>
  <c r="B21" i="55"/>
  <c r="B29" i="2"/>
  <c r="B42" i="102"/>
  <c r="B16"/>
  <c r="B15"/>
  <c r="B12"/>
  <c r="B11"/>
  <c r="B9"/>
  <c r="B8"/>
  <c r="B4"/>
  <c r="B30" i="100"/>
  <c r="B30" i="99"/>
  <c r="B30" i="97"/>
  <c r="B29" i="96"/>
  <c r="B29" i="95"/>
  <c r="B31"/>
  <c r="B30" i="94"/>
  <c r="B31" i="92"/>
  <c r="B30"/>
  <c r="B30" i="91"/>
  <c r="B31"/>
  <c r="B30" i="90"/>
  <c r="B31" i="89"/>
  <c r="B31" i="88"/>
  <c r="B31" i="87"/>
  <c r="B30"/>
  <c r="B31" i="86"/>
  <c r="B31" i="83"/>
  <c r="B31" i="82"/>
  <c r="B30"/>
  <c r="B31" i="79"/>
  <c r="B17" i="77"/>
  <c r="B31" i="76"/>
  <c r="B30"/>
  <c r="B30" i="75"/>
  <c r="B24" i="74"/>
  <c r="B22" i="73"/>
  <c r="B24" i="72"/>
  <c r="B24" i="71"/>
  <c r="B24" i="70"/>
  <c r="B23" i="67"/>
  <c r="B24" i="63"/>
  <c r="B17" i="60"/>
  <c r="B24" i="55"/>
  <c r="B17" i="2"/>
  <c r="B20"/>
  <c r="B22"/>
  <c r="B23"/>
  <c r="B24"/>
  <c r="B30"/>
  <c r="B31"/>
  <c r="B32"/>
  <c r="B34" s="1"/>
  <c r="B33"/>
  <c r="B37"/>
  <c r="B38"/>
  <c r="B39"/>
  <c r="B40"/>
  <c r="B41"/>
  <c r="B48"/>
  <c r="B51"/>
  <c r="B52"/>
  <c r="B53"/>
  <c r="B54"/>
  <c r="B55"/>
  <c r="B33" i="4"/>
  <c r="B33" i="3"/>
  <c r="G38" i="2"/>
  <c r="B55" i="99"/>
  <c r="B54"/>
  <c r="B53"/>
  <c r="B52"/>
  <c r="B51"/>
  <c r="B55" i="98"/>
  <c r="B54"/>
  <c r="B53"/>
  <c r="B52"/>
  <c r="B51"/>
  <c r="B55" i="97"/>
  <c r="B54"/>
  <c r="B53"/>
  <c r="B52"/>
  <c r="B51"/>
  <c r="B55" i="96"/>
  <c r="B54"/>
  <c r="B53"/>
  <c r="B52"/>
  <c r="B51"/>
  <c r="B55" i="95"/>
  <c r="B54"/>
  <c r="B53"/>
  <c r="B52"/>
  <c r="B51"/>
  <c r="B53" i="94"/>
  <c r="B55"/>
  <c r="B54"/>
  <c r="B52"/>
  <c r="B51"/>
  <c r="B53" i="93"/>
  <c r="B55"/>
  <c r="B54"/>
  <c r="B52"/>
  <c r="B51"/>
  <c r="B56" i="92"/>
  <c r="B55"/>
  <c r="B54"/>
  <c r="B53"/>
  <c r="B52"/>
  <c r="B51"/>
  <c r="B55" i="91"/>
  <c r="B54"/>
  <c r="B53"/>
  <c r="B52"/>
  <c r="B51"/>
  <c r="B55" i="90"/>
  <c r="B54"/>
  <c r="B53"/>
  <c r="B52"/>
  <c r="B51"/>
  <c r="B51" i="89"/>
  <c r="B55"/>
  <c r="B54"/>
  <c r="B53"/>
  <c r="B52"/>
  <c r="B54" i="88"/>
  <c r="B56"/>
  <c r="B55"/>
  <c r="B53"/>
  <c r="B52"/>
  <c r="B51"/>
  <c r="B55" i="87"/>
  <c r="B54"/>
  <c r="B53"/>
  <c r="B52"/>
  <c r="B51"/>
  <c r="B54" i="86"/>
  <c r="B55"/>
  <c r="B53"/>
  <c r="B52"/>
  <c r="B51"/>
  <c r="B55" i="85"/>
  <c r="B54"/>
  <c r="B53"/>
  <c r="B52"/>
  <c r="B51"/>
  <c r="B55" i="84"/>
  <c r="B54"/>
  <c r="B53"/>
  <c r="B52"/>
  <c r="B51"/>
  <c r="B54" i="83"/>
  <c r="B56"/>
  <c r="B55"/>
  <c r="B53"/>
  <c r="B52"/>
  <c r="B51"/>
  <c r="B55" i="82"/>
  <c r="B54"/>
  <c r="B53"/>
  <c r="B52"/>
  <c r="B51"/>
  <c r="B56" i="81"/>
  <c r="B58" i="102" s="1"/>
  <c r="B55" i="81"/>
  <c r="B54"/>
  <c r="B53"/>
  <c r="B52"/>
  <c r="B54" i="102" s="1"/>
  <c r="B51" i="81"/>
  <c r="B53" i="102" s="1"/>
  <c r="B55" i="80"/>
  <c r="B54"/>
  <c r="B53"/>
  <c r="B52"/>
  <c r="B51"/>
  <c r="B55" i="79"/>
  <c r="B54"/>
  <c r="B53"/>
  <c r="B52"/>
  <c r="B51"/>
  <c r="B54" i="78"/>
  <c r="B55"/>
  <c r="B53"/>
  <c r="B52"/>
  <c r="B51"/>
  <c r="B55" i="77"/>
  <c r="B54"/>
  <c r="B53"/>
  <c r="B52"/>
  <c r="B51"/>
  <c r="B54" i="76"/>
  <c r="B55"/>
  <c r="B53"/>
  <c r="B52"/>
  <c r="B51"/>
  <c r="B55" i="75"/>
  <c r="B54"/>
  <c r="B53"/>
  <c r="B52"/>
  <c r="B51"/>
  <c r="B52" i="74"/>
  <c r="B55"/>
  <c r="B54"/>
  <c r="B53"/>
  <c r="B51"/>
  <c r="B55" i="73"/>
  <c r="B54"/>
  <c r="B53"/>
  <c r="B52"/>
  <c r="B51"/>
  <c r="B55" i="72"/>
  <c r="B54"/>
  <c r="B53"/>
  <c r="B52"/>
  <c r="B51"/>
  <c r="B55" i="71"/>
  <c r="B54"/>
  <c r="B53"/>
  <c r="B52"/>
  <c r="B51"/>
  <c r="B55" i="70"/>
  <c r="B54"/>
  <c r="B53"/>
  <c r="B52"/>
  <c r="B51"/>
  <c r="B55" i="69"/>
  <c r="B54"/>
  <c r="B53"/>
  <c r="B52"/>
  <c r="B51"/>
  <c r="B56" i="68"/>
  <c r="B55"/>
  <c r="B54"/>
  <c r="B53"/>
  <c r="B52"/>
  <c r="B51"/>
  <c r="B55" i="67"/>
  <c r="B54"/>
  <c r="B53"/>
  <c r="B52"/>
  <c r="B51"/>
  <c r="B55" i="66"/>
  <c r="B54"/>
  <c r="B53"/>
  <c r="B52"/>
  <c r="B51"/>
  <c r="B55" i="65"/>
  <c r="B54"/>
  <c r="B53"/>
  <c r="B52"/>
  <c r="B51"/>
  <c r="B54" i="64"/>
  <c r="B55"/>
  <c r="B53"/>
  <c r="B52"/>
  <c r="B51"/>
  <c r="B54" i="100"/>
  <c r="B55"/>
  <c r="B53"/>
  <c r="B52"/>
  <c r="B51"/>
  <c r="B53" i="63"/>
  <c r="B55"/>
  <c r="B54"/>
  <c r="B52"/>
  <c r="B51"/>
  <c r="B55" i="62"/>
  <c r="B54"/>
  <c r="B53"/>
  <c r="B52"/>
  <c r="B51"/>
  <c r="B55" i="61"/>
  <c r="B54"/>
  <c r="B53"/>
  <c r="B52"/>
  <c r="B51"/>
  <c r="B5" i="57"/>
  <c r="B41" i="88"/>
  <c r="B40"/>
  <c r="B39"/>
  <c r="B38"/>
  <c r="B37"/>
  <c r="B41" i="87"/>
  <c r="B40"/>
  <c r="B39"/>
  <c r="B38"/>
  <c r="B37"/>
  <c r="B41" i="85"/>
  <c r="B40"/>
  <c r="B39"/>
  <c r="B38"/>
  <c r="B37"/>
  <c r="B41" i="84"/>
  <c r="B40"/>
  <c r="B39"/>
  <c r="B38"/>
  <c r="B37"/>
  <c r="B41" i="83"/>
  <c r="B40"/>
  <c r="B39"/>
  <c r="B38"/>
  <c r="B37"/>
  <c r="B41" i="81"/>
  <c r="B40"/>
  <c r="B39"/>
  <c r="B38"/>
  <c r="B37"/>
  <c r="B41" i="80"/>
  <c r="B40"/>
  <c r="B39"/>
  <c r="B37"/>
  <c r="B41" i="79"/>
  <c r="B40"/>
  <c r="B39"/>
  <c r="B38"/>
  <c r="B37"/>
  <c r="B33" i="95"/>
  <c r="B32"/>
  <c r="B30"/>
  <c r="B33" i="94"/>
  <c r="B32"/>
  <c r="B31"/>
  <c r="B29"/>
  <c r="B33" i="91"/>
  <c r="B32"/>
  <c r="B29"/>
  <c r="B41"/>
  <c r="B40"/>
  <c r="B39"/>
  <c r="B38"/>
  <c r="B37"/>
  <c r="B41" i="92"/>
  <c r="B40"/>
  <c r="B39"/>
  <c r="B38"/>
  <c r="B37"/>
  <c r="B33"/>
  <c r="B32"/>
  <c r="B29"/>
  <c r="B33" i="93"/>
  <c r="B32"/>
  <c r="B31"/>
  <c r="B30"/>
  <c r="B29"/>
  <c r="B42"/>
  <c r="B41"/>
  <c r="B40"/>
  <c r="B39"/>
  <c r="B38"/>
  <c r="B37"/>
  <c r="B39" i="94"/>
  <c r="B38"/>
  <c r="B41"/>
  <c r="B40"/>
  <c r="B37"/>
  <c r="B41" i="97"/>
  <c r="B40"/>
  <c r="B39"/>
  <c r="B38"/>
  <c r="B37"/>
  <c r="B41" i="95"/>
  <c r="B40"/>
  <c r="B39"/>
  <c r="B38"/>
  <c r="B37"/>
  <c r="B41" i="96"/>
  <c r="B40"/>
  <c r="B39"/>
  <c r="B38"/>
  <c r="B37"/>
  <c r="B33"/>
  <c r="B32"/>
  <c r="B31"/>
  <c r="B30"/>
  <c r="B33" i="97"/>
  <c r="B32"/>
  <c r="B31"/>
  <c r="B29"/>
  <c r="B41" i="98"/>
  <c r="B40"/>
  <c r="B39"/>
  <c r="B38"/>
  <c r="B37"/>
  <c r="B33"/>
  <c r="B32"/>
  <c r="B31"/>
  <c r="B30"/>
  <c r="B29"/>
  <c r="B33" i="99"/>
  <c r="B32"/>
  <c r="B31"/>
  <c r="B29"/>
  <c r="B41"/>
  <c r="B40"/>
  <c r="B39"/>
  <c r="B38"/>
  <c r="B37"/>
  <c r="B41" i="100"/>
  <c r="B40"/>
  <c r="B39"/>
  <c r="B38"/>
  <c r="B37"/>
  <c r="B41" i="78"/>
  <c r="B39"/>
  <c r="B40"/>
  <c r="B38"/>
  <c r="B37"/>
  <c r="B41" i="77"/>
  <c r="B40"/>
  <c r="B39"/>
  <c r="B38"/>
  <c r="B37"/>
  <c r="B41" i="76"/>
  <c r="B40"/>
  <c r="B39"/>
  <c r="B38"/>
  <c r="B37"/>
  <c r="B41" i="75"/>
  <c r="B40"/>
  <c r="B39"/>
  <c r="B38"/>
  <c r="B37"/>
  <c r="B41" i="74"/>
  <c r="B40"/>
  <c r="B39"/>
  <c r="B38"/>
  <c r="B37"/>
  <c r="B41" i="73"/>
  <c r="B40"/>
  <c r="B39"/>
  <c r="B38"/>
  <c r="B37"/>
  <c r="B41" i="72"/>
  <c r="B40"/>
  <c r="B39"/>
  <c r="B38"/>
  <c r="B37"/>
  <c r="B40" i="71"/>
  <c r="B41"/>
  <c r="B39"/>
  <c r="B38"/>
  <c r="B37"/>
  <c r="B41" i="70"/>
  <c r="B40"/>
  <c r="B39"/>
  <c r="B38"/>
  <c r="B37"/>
  <c r="B40" i="69"/>
  <c r="B41"/>
  <c r="B39"/>
  <c r="B38"/>
  <c r="B37"/>
  <c r="B41" i="68"/>
  <c r="B40"/>
  <c r="B39"/>
  <c r="B38"/>
  <c r="B37"/>
  <c r="B41" i="67"/>
  <c r="B40"/>
  <c r="B39"/>
  <c r="B38"/>
  <c r="B37"/>
  <c r="B41" i="66"/>
  <c r="B40"/>
  <c r="B39"/>
  <c r="B38"/>
  <c r="B37"/>
  <c r="B41" i="61"/>
  <c r="B40"/>
  <c r="B39"/>
  <c r="B38"/>
  <c r="B37"/>
  <c r="B41" i="63"/>
  <c r="B40"/>
  <c r="B39"/>
  <c r="B38"/>
  <c r="B37"/>
  <c r="B41" i="64"/>
  <c r="B40"/>
  <c r="B39"/>
  <c r="B38"/>
  <c r="B37"/>
  <c r="B38" i="65"/>
  <c r="B41"/>
  <c r="B40"/>
  <c r="B39"/>
  <c r="B37"/>
  <c r="B43" s="1"/>
  <c r="B55" i="60"/>
  <c r="B54"/>
  <c r="B53"/>
  <c r="B52"/>
  <c r="B51"/>
  <c r="B55" i="59"/>
  <c r="B57"/>
  <c r="B54"/>
  <c r="B53"/>
  <c r="B52"/>
  <c r="B51"/>
  <c r="B41" i="60"/>
  <c r="B40"/>
  <c r="B39"/>
  <c r="B38"/>
  <c r="B37"/>
  <c r="B21"/>
  <c r="B22"/>
  <c r="B41" i="59"/>
  <c r="B40"/>
  <c r="B39"/>
  <c r="B38"/>
  <c r="B37"/>
  <c r="B54" i="58"/>
  <c r="B55" i="57"/>
  <c r="B54"/>
  <c r="B53"/>
  <c r="B52"/>
  <c r="B54" i="56"/>
  <c r="B55"/>
  <c r="B53"/>
  <c r="B52"/>
  <c r="B51"/>
  <c r="B54" i="55"/>
  <c r="B52"/>
  <c r="B51"/>
  <c r="B55"/>
  <c r="B53"/>
  <c r="B55" i="54"/>
  <c r="B54"/>
  <c r="B53"/>
  <c r="B52"/>
  <c r="B51"/>
  <c r="B57" s="1"/>
  <c r="B55" i="5"/>
  <c r="B54"/>
  <c r="B53"/>
  <c r="B52"/>
  <c r="B51"/>
  <c r="B55" i="4"/>
  <c r="B54"/>
  <c r="B53"/>
  <c r="B52"/>
  <c r="B51"/>
  <c r="B5" i="59"/>
  <c r="B5" i="56"/>
  <c r="B5" i="55"/>
  <c r="G17" i="79"/>
  <c r="G13" i="77"/>
  <c r="G13" i="59"/>
  <c r="B40" i="57"/>
  <c r="B41"/>
  <c r="B39"/>
  <c r="B38"/>
  <c r="B41" i="56"/>
  <c r="B40"/>
  <c r="B39"/>
  <c r="B38"/>
  <c r="B37"/>
  <c r="B39" i="90"/>
  <c r="B42"/>
  <c r="B41"/>
  <c r="B40"/>
  <c r="B38"/>
  <c r="B37"/>
  <c r="B33"/>
  <c r="B32"/>
  <c r="B31"/>
  <c r="B29"/>
  <c r="B41" i="89"/>
  <c r="B40"/>
  <c r="B39"/>
  <c r="B38"/>
  <c r="B37"/>
  <c r="B33"/>
  <c r="B30"/>
  <c r="B29"/>
  <c r="B33" i="88"/>
  <c r="B32"/>
  <c r="B30"/>
  <c r="B29"/>
  <c r="B33" i="87"/>
  <c r="B32"/>
  <c r="B29"/>
  <c r="B39" i="86"/>
  <c r="B41"/>
  <c r="B40"/>
  <c r="B38"/>
  <c r="B37"/>
  <c r="B33"/>
  <c r="B32"/>
  <c r="B30"/>
  <c r="B29"/>
  <c r="B31" i="85"/>
  <c r="B33"/>
  <c r="B34" s="1"/>
  <c r="B32"/>
  <c r="B30"/>
  <c r="B29"/>
  <c r="B33" i="84"/>
  <c r="B32"/>
  <c r="B31"/>
  <c r="B30"/>
  <c r="B29"/>
  <c r="B33" i="83"/>
  <c r="B32"/>
  <c r="B30"/>
  <c r="B29"/>
  <c r="B41" i="55"/>
  <c r="B39"/>
  <c r="B40"/>
  <c r="B38"/>
  <c r="B37"/>
  <c r="B41" i="82"/>
  <c r="B40"/>
  <c r="B39"/>
  <c r="B38"/>
  <c r="B37"/>
  <c r="B33"/>
  <c r="B32"/>
  <c r="B29"/>
  <c r="B33" i="81"/>
  <c r="B32"/>
  <c r="B31"/>
  <c r="B34" s="1"/>
  <c r="B30"/>
  <c r="B29"/>
  <c r="B33" i="80"/>
  <c r="B32"/>
  <c r="B31"/>
  <c r="B30"/>
  <c r="B29"/>
  <c r="B33" i="79"/>
  <c r="B32"/>
  <c r="B29"/>
  <c r="B31" i="78"/>
  <c r="B33"/>
  <c r="B32"/>
  <c r="B30"/>
  <c r="B29"/>
  <c r="B33" i="77"/>
  <c r="B34" s="1"/>
  <c r="B32"/>
  <c r="B31"/>
  <c r="B30"/>
  <c r="B29"/>
  <c r="B33" i="76"/>
  <c r="B32"/>
  <c r="B29"/>
  <c r="B33" i="75"/>
  <c r="B32"/>
  <c r="B31"/>
  <c r="B29"/>
  <c r="B33" i="74"/>
  <c r="B32"/>
  <c r="B31"/>
  <c r="B30"/>
  <c r="B29"/>
  <c r="B33" i="73"/>
  <c r="B32"/>
  <c r="B30"/>
  <c r="B29"/>
  <c r="B33" i="100"/>
  <c r="B32"/>
  <c r="B31"/>
  <c r="B29"/>
  <c r="B24"/>
  <c r="B23"/>
  <c r="B22"/>
  <c r="B21"/>
  <c r="B20"/>
  <c r="B21" i="99"/>
  <c r="B24"/>
  <c r="B23"/>
  <c r="B22"/>
  <c r="B20"/>
  <c r="B23" i="98"/>
  <c r="B24"/>
  <c r="B22"/>
  <c r="B21"/>
  <c r="B26" s="1"/>
  <c r="B20"/>
  <c r="B24" i="97"/>
  <c r="B23"/>
  <c r="B22"/>
  <c r="B21"/>
  <c r="B20"/>
  <c r="B24" i="96"/>
  <c r="B23"/>
  <c r="B22"/>
  <c r="B21"/>
  <c r="B26" s="1"/>
  <c r="B20"/>
  <c r="B24" i="95"/>
  <c r="B23"/>
  <c r="B22"/>
  <c r="B21"/>
  <c r="B20"/>
  <c r="B25" i="94"/>
  <c r="B24"/>
  <c r="B23"/>
  <c r="B22"/>
  <c r="B21"/>
  <c r="B20"/>
  <c r="B24" i="93"/>
  <c r="B23"/>
  <c r="B22"/>
  <c r="B21"/>
  <c r="B20"/>
  <c r="B23" i="92"/>
  <c r="B24"/>
  <c r="B22"/>
  <c r="B21"/>
  <c r="B20"/>
  <c r="B24" i="91"/>
  <c r="B23"/>
  <c r="B22"/>
  <c r="B21"/>
  <c r="B20"/>
  <c r="B24" i="90"/>
  <c r="B23"/>
  <c r="B22"/>
  <c r="B21"/>
  <c r="B20"/>
  <c r="B24" i="89"/>
  <c r="B23"/>
  <c r="B22"/>
  <c r="B21"/>
  <c r="B20"/>
  <c r="B24" i="88"/>
  <c r="B23"/>
  <c r="B22"/>
  <c r="B21"/>
  <c r="B20"/>
  <c r="B24" i="87"/>
  <c r="B23"/>
  <c r="B22"/>
  <c r="B21"/>
  <c r="B20"/>
  <c r="B24" i="86"/>
  <c r="B23"/>
  <c r="B22"/>
  <c r="B21"/>
  <c r="B20"/>
  <c r="B24" i="85"/>
  <c r="B23"/>
  <c r="B22"/>
  <c r="B21"/>
  <c r="B20"/>
  <c r="B24" i="84"/>
  <c r="B23"/>
  <c r="B22"/>
  <c r="B21"/>
  <c r="B20"/>
  <c r="B24" i="83"/>
  <c r="B23"/>
  <c r="B22"/>
  <c r="B21"/>
  <c r="B20"/>
  <c r="B24" i="82"/>
  <c r="B23"/>
  <c r="B22"/>
  <c r="B21"/>
  <c r="B20"/>
  <c r="B24" i="81"/>
  <c r="B23"/>
  <c r="B22"/>
  <c r="B21"/>
  <c r="B20"/>
  <c r="B24" i="80"/>
  <c r="B23"/>
  <c r="B22"/>
  <c r="B21"/>
  <c r="B20"/>
  <c r="B24" i="79"/>
  <c r="B23"/>
  <c r="B22"/>
  <c r="B21"/>
  <c r="B20"/>
  <c r="B22" i="78"/>
  <c r="B21"/>
  <c r="B24"/>
  <c r="B23"/>
  <c r="B20"/>
  <c r="B24" i="77"/>
  <c r="B22"/>
  <c r="B21"/>
  <c r="B23"/>
  <c r="B20"/>
  <c r="B21" i="76"/>
  <c r="B23"/>
  <c r="B24"/>
  <c r="B22"/>
  <c r="B20"/>
  <c r="B24" i="75"/>
  <c r="B23"/>
  <c r="B22"/>
  <c r="B21"/>
  <c r="B20"/>
  <c r="B21" i="74"/>
  <c r="B22"/>
  <c r="B20"/>
  <c r="B21" i="73"/>
  <c r="B20"/>
  <c r="B22" i="72"/>
  <c r="B21"/>
  <c r="B20"/>
  <c r="B22" i="67"/>
  <c r="B21"/>
  <c r="B22" i="66"/>
  <c r="B21"/>
  <c r="B24" i="65"/>
  <c r="B24" i="64"/>
  <c r="B23"/>
  <c r="B22"/>
  <c r="B21"/>
  <c r="B22" i="63"/>
  <c r="B21"/>
  <c r="B51" i="3"/>
  <c r="B55"/>
  <c r="B53"/>
  <c r="B54"/>
  <c r="B52"/>
  <c r="B32" i="72"/>
  <c r="B31"/>
  <c r="B30"/>
  <c r="B29"/>
  <c r="B41" i="5"/>
  <c r="B40"/>
  <c r="B39"/>
  <c r="B38"/>
  <c r="B37"/>
  <c r="B41" i="4"/>
  <c r="B40"/>
  <c r="B39"/>
  <c r="B38"/>
  <c r="B43" s="1"/>
  <c r="B37"/>
  <c r="B40" i="3"/>
  <c r="B41"/>
  <c r="B39"/>
  <c r="B38"/>
  <c r="B37"/>
  <c r="B41" i="54"/>
  <c r="B40"/>
  <c r="B39"/>
  <c r="B38"/>
  <c r="B43" s="1"/>
  <c r="B37"/>
  <c r="B20" i="60"/>
  <c r="B20" i="64"/>
  <c r="B20" i="65"/>
  <c r="B20" i="66"/>
  <c r="B20" i="67"/>
  <c r="B26" s="1"/>
  <c r="B22" i="68"/>
  <c r="B21"/>
  <c r="B20"/>
  <c r="B22" i="69"/>
  <c r="B21"/>
  <c r="B24"/>
  <c r="B23" i="70"/>
  <c r="B22"/>
  <c r="B21"/>
  <c r="B20" i="69"/>
  <c r="B20" i="70"/>
  <c r="B23" i="71"/>
  <c r="B22"/>
  <c r="B21"/>
  <c r="B23" i="63"/>
  <c r="B20"/>
  <c r="B41" i="62"/>
  <c r="B40"/>
  <c r="B39"/>
  <c r="B38"/>
  <c r="B37"/>
  <c r="B24"/>
  <c r="B22"/>
  <c r="B21"/>
  <c r="B20"/>
  <c r="B21" i="61"/>
  <c r="B20"/>
  <c r="B23" i="59"/>
  <c r="B22"/>
  <c r="B21"/>
  <c r="B20"/>
  <c r="B24" i="57"/>
  <c r="B22"/>
  <c r="B21"/>
  <c r="B22" i="56"/>
  <c r="B21"/>
  <c r="B20"/>
  <c r="B23" i="55"/>
  <c r="B22"/>
  <c r="B20"/>
  <c r="B23" i="54"/>
  <c r="B22"/>
  <c r="B21"/>
  <c r="B21" i="102" s="1"/>
  <c r="B20" i="54"/>
  <c r="B24" i="3"/>
  <c r="B23"/>
  <c r="B22"/>
  <c r="B21"/>
  <c r="B26" s="1"/>
  <c r="B20"/>
  <c r="B24" i="5"/>
  <c r="B25"/>
  <c r="B25" i="102" s="1"/>
  <c r="B21" i="5"/>
  <c r="B20" i="71"/>
  <c r="B33"/>
  <c r="B32"/>
  <c r="B29"/>
  <c r="B33" i="70"/>
  <c r="B32"/>
  <c r="B31"/>
  <c r="B29"/>
  <c r="B33" i="69"/>
  <c r="B32"/>
  <c r="B31"/>
  <c r="B29"/>
  <c r="B33" i="68"/>
  <c r="B32"/>
  <c r="B31"/>
  <c r="B30"/>
  <c r="B29"/>
  <c r="B33" i="67"/>
  <c r="B32"/>
  <c r="B31"/>
  <c r="B30"/>
  <c r="B29"/>
  <c r="B34" s="1"/>
  <c r="B33" i="66"/>
  <c r="B32"/>
  <c r="B31"/>
  <c r="B30"/>
  <c r="B29"/>
  <c r="B33" i="65"/>
  <c r="B32"/>
  <c r="B31"/>
  <c r="B30"/>
  <c r="B29"/>
  <c r="B31" i="64"/>
  <c r="B30"/>
  <c r="B29"/>
  <c r="B33" i="63"/>
  <c r="B32"/>
  <c r="B30"/>
  <c r="B29"/>
  <c r="B33" i="62"/>
  <c r="B32"/>
  <c r="B31"/>
  <c r="B30"/>
  <c r="B29"/>
  <c r="B33" i="61"/>
  <c r="B32"/>
  <c r="B30"/>
  <c r="B29"/>
  <c r="B30" i="60"/>
  <c r="B33"/>
  <c r="B32"/>
  <c r="B31"/>
  <c r="B29"/>
  <c r="B33" i="59"/>
  <c r="B30"/>
  <c r="B31"/>
  <c r="B29"/>
  <c r="B29" i="57"/>
  <c r="B33"/>
  <c r="B32"/>
  <c r="B31"/>
  <c r="B31" i="56"/>
  <c r="B33"/>
  <c r="B32"/>
  <c r="B30"/>
  <c r="B29"/>
  <c r="B33" i="55"/>
  <c r="B32"/>
  <c r="B31"/>
  <c r="B30"/>
  <c r="B29"/>
  <c r="B29" i="5"/>
  <c r="B34" s="1"/>
  <c r="B31"/>
  <c r="B33"/>
  <c r="B33" i="54"/>
  <c r="B32"/>
  <c r="B31"/>
  <c r="B30"/>
  <c r="B32" i="4"/>
  <c r="B31"/>
  <c r="B34" s="1"/>
  <c r="B30"/>
  <c r="B29"/>
  <c r="B30" i="3"/>
  <c r="B34" s="1"/>
  <c r="B32"/>
  <c r="B29"/>
  <c r="B24" i="4"/>
  <c r="B23"/>
  <c r="B22"/>
  <c r="B21"/>
  <c r="B20"/>
  <c r="B26" s="1"/>
  <c r="B20" i="5"/>
  <c r="G21" i="100"/>
  <c r="G20"/>
  <c r="G21" i="99"/>
  <c r="G20"/>
  <c r="G21" i="98"/>
  <c r="G20"/>
  <c r="G21" i="97"/>
  <c r="G20"/>
  <c r="G21" i="96"/>
  <c r="G20"/>
  <c r="G21" i="95"/>
  <c r="G20"/>
  <c r="G21" i="94"/>
  <c r="G20"/>
  <c r="G21" i="93"/>
  <c r="G20"/>
  <c r="G21" i="92"/>
  <c r="G20"/>
  <c r="G21" i="91"/>
  <c r="G20"/>
  <c r="G21" i="90"/>
  <c r="G20"/>
  <c r="G21" i="89"/>
  <c r="G20"/>
  <c r="G20" i="88"/>
  <c r="G21"/>
  <c r="G21" i="87"/>
  <c r="G20"/>
  <c r="G20" i="86"/>
  <c r="G21"/>
  <c r="G21" i="85"/>
  <c r="G20"/>
  <c r="G21" i="84"/>
  <c r="G20"/>
  <c r="G21" i="83"/>
  <c r="G20"/>
  <c r="G21" i="82"/>
  <c r="G20"/>
  <c r="G21" i="81"/>
  <c r="G20"/>
  <c r="G21" i="80"/>
  <c r="G20"/>
  <c r="G21" i="79"/>
  <c r="G20"/>
  <c r="G21" i="78"/>
  <c r="G20"/>
  <c r="G21" i="77"/>
  <c r="G20"/>
  <c r="G21" i="76"/>
  <c r="G20"/>
  <c r="G21" i="75"/>
  <c r="G23" s="1"/>
  <c r="G20"/>
  <c r="G21" i="74"/>
  <c r="G20"/>
  <c r="G21" i="73"/>
  <c r="G20"/>
  <c r="G21" i="72"/>
  <c r="G20"/>
  <c r="G23" s="1"/>
  <c r="G21" i="71"/>
  <c r="G20"/>
  <c r="G20" i="70"/>
  <c r="G21"/>
  <c r="G21" i="69"/>
  <c r="G20"/>
  <c r="G21" i="68"/>
  <c r="G20"/>
  <c r="G21" i="67"/>
  <c r="G21" i="102" s="1"/>
  <c r="G20" i="67"/>
  <c r="G20" i="102" s="1"/>
  <c r="G21" i="66"/>
  <c r="G20"/>
  <c r="G21" i="65"/>
  <c r="G20"/>
  <c r="G21" i="64"/>
  <c r="G20"/>
  <c r="G21" i="63"/>
  <c r="G20"/>
  <c r="G21" i="62"/>
  <c r="G20"/>
  <c r="G21" i="61"/>
  <c r="G20"/>
  <c r="G21" i="60"/>
  <c r="G20"/>
  <c r="G21" i="59"/>
  <c r="G20"/>
  <c r="G21" i="58"/>
  <c r="G20"/>
  <c r="G21" i="57"/>
  <c r="G20"/>
  <c r="G21" i="56"/>
  <c r="G20"/>
  <c r="G21" i="55"/>
  <c r="G23" s="1"/>
  <c r="G20"/>
  <c r="G21" i="54"/>
  <c r="G20"/>
  <c r="B5" i="100"/>
  <c r="B5" i="99"/>
  <c r="B5" i="98"/>
  <c r="B5" i="97"/>
  <c r="B5" i="96"/>
  <c r="B5" i="95"/>
  <c r="B5" i="94"/>
  <c r="B5" i="93"/>
  <c r="B5" i="92"/>
  <c r="B5" i="91"/>
  <c r="B5" i="90"/>
  <c r="B5" i="89"/>
  <c r="B5" i="88"/>
  <c r="B5" i="87"/>
  <c r="B5" i="86"/>
  <c r="B5" i="85"/>
  <c r="B5" i="84"/>
  <c r="B5" i="83"/>
  <c r="B5" i="82"/>
  <c r="B5" i="81"/>
  <c r="B5" i="80"/>
  <c r="B5" i="79"/>
  <c r="B5" i="78"/>
  <c r="B5" i="77"/>
  <c r="B5" i="76"/>
  <c r="B5" i="75"/>
  <c r="B5" i="74"/>
  <c r="B5" i="73"/>
  <c r="B5" i="72"/>
  <c r="B5" i="71"/>
  <c r="B5" i="70"/>
  <c r="B5" i="69"/>
  <c r="B5" i="68"/>
  <c r="B5" i="67"/>
  <c r="B5" i="66"/>
  <c r="B5" i="65"/>
  <c r="B5" i="64"/>
  <c r="B5" i="63"/>
  <c r="B5" i="62"/>
  <c r="B5" i="61"/>
  <c r="B5" i="60"/>
  <c r="G52" i="100"/>
  <c r="G52" i="99"/>
  <c r="G52" i="98"/>
  <c r="G52" i="97"/>
  <c r="G52" i="96"/>
  <c r="G52" i="95"/>
  <c r="G52" i="94"/>
  <c r="G52" i="93"/>
  <c r="G52" i="92"/>
  <c r="G52" i="91"/>
  <c r="G52" i="90"/>
  <c r="G52" i="89"/>
  <c r="G52" i="88"/>
  <c r="G52" i="87"/>
  <c r="G52" i="86"/>
  <c r="G52" i="85"/>
  <c r="G52" i="84"/>
  <c r="G52" i="83"/>
  <c r="G52" i="82"/>
  <c r="G52" i="81"/>
  <c r="G52" i="80"/>
  <c r="G52" i="79"/>
  <c r="G52" i="78"/>
  <c r="G52" i="77"/>
  <c r="G52" i="76"/>
  <c r="G52" i="75"/>
  <c r="G52" i="74"/>
  <c r="G52" i="73"/>
  <c r="G52" i="72"/>
  <c r="G52" i="71"/>
  <c r="G52" i="70"/>
  <c r="G52" i="69"/>
  <c r="G52" i="68"/>
  <c r="G52" i="67"/>
  <c r="G52" i="66"/>
  <c r="G52" i="65"/>
  <c r="G52" i="64"/>
  <c r="G52" i="63"/>
  <c r="G52" i="62"/>
  <c r="G52" i="61"/>
  <c r="G52" i="60"/>
  <c r="G52" i="59"/>
  <c r="G52" i="58"/>
  <c r="G52" i="57"/>
  <c r="G52" i="56"/>
  <c r="G52" i="55"/>
  <c r="G52" i="54"/>
  <c r="G52" i="5"/>
  <c r="G52" i="4"/>
  <c r="G52" i="3"/>
  <c r="B57" i="100"/>
  <c r="B48"/>
  <c r="B26"/>
  <c r="B17"/>
  <c r="B57" i="99"/>
  <c r="B48"/>
  <c r="B43"/>
  <c r="B34"/>
  <c r="B26"/>
  <c r="B17"/>
  <c r="B57" i="98"/>
  <c r="B48"/>
  <c r="B43"/>
  <c r="B34"/>
  <c r="B17"/>
  <c r="B57" i="97"/>
  <c r="B48"/>
  <c r="B43"/>
  <c r="B34"/>
  <c r="B26"/>
  <c r="B17"/>
  <c r="B57" i="96"/>
  <c r="B48"/>
  <c r="B43"/>
  <c r="B34"/>
  <c r="B17"/>
  <c r="B57" i="95"/>
  <c r="B48"/>
  <c r="B43"/>
  <c r="B34"/>
  <c r="B26"/>
  <c r="B17"/>
  <c r="B57" i="94"/>
  <c r="B48"/>
  <c r="B43"/>
  <c r="B34"/>
  <c r="B26"/>
  <c r="B17"/>
  <c r="B57" i="93"/>
  <c r="B48"/>
  <c r="B43"/>
  <c r="B34"/>
  <c r="B26"/>
  <c r="B17"/>
  <c r="B57" i="92"/>
  <c r="B48"/>
  <c r="B43"/>
  <c r="B34"/>
  <c r="B26"/>
  <c r="B17"/>
  <c r="B57" i="91"/>
  <c r="B48"/>
  <c r="B43"/>
  <c r="B34"/>
  <c r="B26"/>
  <c r="B17"/>
  <c r="B57" i="90"/>
  <c r="B48"/>
  <c r="B43"/>
  <c r="B34"/>
  <c r="B17"/>
  <c r="B57" i="89"/>
  <c r="B48"/>
  <c r="B43"/>
  <c r="B34"/>
  <c r="B26"/>
  <c r="B17"/>
  <c r="B57" i="88"/>
  <c r="B48"/>
  <c r="B43"/>
  <c r="B34"/>
  <c r="B26"/>
  <c r="B17"/>
  <c r="B57" i="87"/>
  <c r="B48"/>
  <c r="B34"/>
  <c r="B26"/>
  <c r="B17"/>
  <c r="B57" i="86"/>
  <c r="B48"/>
  <c r="B43"/>
  <c r="B34"/>
  <c r="B26"/>
  <c r="B17"/>
  <c r="B57" i="85"/>
  <c r="B48"/>
  <c r="B43"/>
  <c r="B26"/>
  <c r="B17"/>
  <c r="B57" i="84"/>
  <c r="B48"/>
  <c r="B43"/>
  <c r="B34"/>
  <c r="B26"/>
  <c r="B17"/>
  <c r="B57" i="83"/>
  <c r="B48"/>
  <c r="B43"/>
  <c r="B34"/>
  <c r="B17"/>
  <c r="B57" i="82"/>
  <c r="B48"/>
  <c r="B43"/>
  <c r="B34"/>
  <c r="B26"/>
  <c r="B17"/>
  <c r="B57" i="81"/>
  <c r="B48"/>
  <c r="B43"/>
  <c r="B26"/>
  <c r="B17"/>
  <c r="B57" i="80"/>
  <c r="B48"/>
  <c r="B43"/>
  <c r="B34"/>
  <c r="B26"/>
  <c r="B17"/>
  <c r="B57" i="79"/>
  <c r="B48"/>
  <c r="B43"/>
  <c r="B34"/>
  <c r="B26"/>
  <c r="B17"/>
  <c r="B57" i="78"/>
  <c r="B48"/>
  <c r="B43"/>
  <c r="B34"/>
  <c r="B26"/>
  <c r="B17"/>
  <c r="B57" i="77"/>
  <c r="B48"/>
  <c r="B43"/>
  <c r="B26"/>
  <c r="B57" i="76"/>
  <c r="B48"/>
  <c r="B43"/>
  <c r="B34"/>
  <c r="B26"/>
  <c r="B17"/>
  <c r="B57" i="75"/>
  <c r="B48"/>
  <c r="B43"/>
  <c r="B34"/>
  <c r="B26"/>
  <c r="B17"/>
  <c r="B57" i="74"/>
  <c r="B48"/>
  <c r="B43"/>
  <c r="B34"/>
  <c r="B26"/>
  <c r="B17"/>
  <c r="B57" i="73"/>
  <c r="B48"/>
  <c r="B43"/>
  <c r="B34"/>
  <c r="B26"/>
  <c r="B17"/>
  <c r="B57" i="72"/>
  <c r="B48"/>
  <c r="B43"/>
  <c r="B34"/>
  <c r="B26"/>
  <c r="B17"/>
  <c r="B57" i="71"/>
  <c r="B48"/>
  <c r="B43"/>
  <c r="B34"/>
  <c r="B17"/>
  <c r="B57" i="70"/>
  <c r="B48"/>
  <c r="B43"/>
  <c r="B34"/>
  <c r="B26"/>
  <c r="B17"/>
  <c r="B57" i="69"/>
  <c r="B48"/>
  <c r="B43"/>
  <c r="B34"/>
  <c r="B17"/>
  <c r="B57" i="68"/>
  <c r="B48"/>
  <c r="B43"/>
  <c r="B34"/>
  <c r="B26"/>
  <c r="B17"/>
  <c r="B57" i="67"/>
  <c r="B48"/>
  <c r="B43"/>
  <c r="B17"/>
  <c r="B57" i="66"/>
  <c r="B48"/>
  <c r="B43"/>
  <c r="B34"/>
  <c r="B26"/>
  <c r="B17"/>
  <c r="B57" i="65"/>
  <c r="B48"/>
  <c r="B34"/>
  <c r="B26"/>
  <c r="B17"/>
  <c r="B57" i="64"/>
  <c r="B48"/>
  <c r="B43"/>
  <c r="B34"/>
  <c r="B26"/>
  <c r="B17"/>
  <c r="B57" i="63"/>
  <c r="B48"/>
  <c r="B26"/>
  <c r="B17"/>
  <c r="B57" i="62"/>
  <c r="B48"/>
  <c r="B43"/>
  <c r="B34"/>
  <c r="B26"/>
  <c r="B17"/>
  <c r="B57" i="61"/>
  <c r="B48"/>
  <c r="B43"/>
  <c r="B34"/>
  <c r="B17"/>
  <c r="B57" i="60"/>
  <c r="B48"/>
  <c r="B34"/>
  <c r="B26"/>
  <c r="B48" i="59"/>
  <c r="B43"/>
  <c r="B34"/>
  <c r="B26"/>
  <c r="B17"/>
  <c r="B57" i="58"/>
  <c r="B48"/>
  <c r="B43"/>
  <c r="B34"/>
  <c r="B26"/>
  <c r="B17"/>
  <c r="B57" i="57"/>
  <c r="B48"/>
  <c r="B43"/>
  <c r="B34"/>
  <c r="B26"/>
  <c r="B17"/>
  <c r="B48" i="56"/>
  <c r="B43"/>
  <c r="B34"/>
  <c r="B26"/>
  <c r="B17"/>
  <c r="B57" i="55"/>
  <c r="B48"/>
  <c r="B43"/>
  <c r="B34"/>
  <c r="B26"/>
  <c r="B17"/>
  <c r="B48" i="54"/>
  <c r="B34"/>
  <c r="B26"/>
  <c r="B17"/>
  <c r="B57" i="5"/>
  <c r="B48"/>
  <c r="B43"/>
  <c r="B26"/>
  <c r="B17"/>
  <c r="B57" i="4"/>
  <c r="B48"/>
  <c r="B48" i="3"/>
  <c r="B43"/>
  <c r="B17"/>
  <c r="B5" i="54"/>
  <c r="G47" i="100"/>
  <c r="G38"/>
  <c r="G23"/>
  <c r="B10"/>
  <c r="G6"/>
  <c r="G47" i="99"/>
  <c r="G38"/>
  <c r="G23"/>
  <c r="B10"/>
  <c r="G6"/>
  <c r="G47" i="98"/>
  <c r="G38"/>
  <c r="G23"/>
  <c r="B10"/>
  <c r="G6"/>
  <c r="G47" i="97"/>
  <c r="G38"/>
  <c r="G23"/>
  <c r="B10"/>
  <c r="G6"/>
  <c r="G47" i="96"/>
  <c r="G38"/>
  <c r="G23"/>
  <c r="B10"/>
  <c r="G6"/>
  <c r="G47" i="95"/>
  <c r="G38"/>
  <c r="G23"/>
  <c r="B10"/>
  <c r="G6"/>
  <c r="G47" i="94"/>
  <c r="G38"/>
  <c r="G23"/>
  <c r="B10"/>
  <c r="G6"/>
  <c r="G47" i="93"/>
  <c r="G38"/>
  <c r="G23"/>
  <c r="B10"/>
  <c r="G6"/>
  <c r="G47" i="92"/>
  <c r="G38"/>
  <c r="G23"/>
  <c r="B10"/>
  <c r="G6"/>
  <c r="G47" i="91"/>
  <c r="G38"/>
  <c r="G23"/>
  <c r="B10"/>
  <c r="G6"/>
  <c r="G47" i="90"/>
  <c r="G38"/>
  <c r="G23"/>
  <c r="B10"/>
  <c r="G6"/>
  <c r="G47" i="89"/>
  <c r="G38"/>
  <c r="G23"/>
  <c r="B10"/>
  <c r="G6"/>
  <c r="G47" i="88"/>
  <c r="G38"/>
  <c r="B10"/>
  <c r="G6"/>
  <c r="G47" i="87"/>
  <c r="G38"/>
  <c r="G23"/>
  <c r="B10"/>
  <c r="G6"/>
  <c r="G47" i="86"/>
  <c r="G38"/>
  <c r="G23"/>
  <c r="B10"/>
  <c r="G6"/>
  <c r="G47" i="85"/>
  <c r="G38"/>
  <c r="G23"/>
  <c r="B10"/>
  <c r="G6"/>
  <c r="G47" i="84"/>
  <c r="G38"/>
  <c r="G23"/>
  <c r="B10"/>
  <c r="G6"/>
  <c r="G47" i="83"/>
  <c r="G38"/>
  <c r="G23"/>
  <c r="B10"/>
  <c r="G6"/>
  <c r="G47" i="82"/>
  <c r="G38"/>
  <c r="G23"/>
  <c r="B10"/>
  <c r="G6"/>
  <c r="G47" i="81"/>
  <c r="G38"/>
  <c r="B10"/>
  <c r="G6"/>
  <c r="G47" i="80"/>
  <c r="G38"/>
  <c r="G23"/>
  <c r="B10"/>
  <c r="G6"/>
  <c r="G47" i="79"/>
  <c r="G38"/>
  <c r="G23"/>
  <c r="B10"/>
  <c r="G6"/>
  <c r="G47" i="78"/>
  <c r="G38"/>
  <c r="G23"/>
  <c r="B10"/>
  <c r="G6"/>
  <c r="G47" i="77"/>
  <c r="G38"/>
  <c r="G23"/>
  <c r="B10"/>
  <c r="G6"/>
  <c r="G47" i="76"/>
  <c r="G38"/>
  <c r="G23"/>
  <c r="B10"/>
  <c r="G6"/>
  <c r="G47" i="75"/>
  <c r="G38"/>
  <c r="B10"/>
  <c r="G6"/>
  <c r="G47" i="74"/>
  <c r="G38"/>
  <c r="G23"/>
  <c r="B10"/>
  <c r="G6"/>
  <c r="G47" i="73"/>
  <c r="G38"/>
  <c r="G23"/>
  <c r="B10"/>
  <c r="G6"/>
  <c r="G47" i="72"/>
  <c r="G38"/>
  <c r="B10"/>
  <c r="G6"/>
  <c r="G47" i="71"/>
  <c r="G38"/>
  <c r="G23"/>
  <c r="B10"/>
  <c r="G6"/>
  <c r="G47" i="70"/>
  <c r="G38"/>
  <c r="G23"/>
  <c r="B10"/>
  <c r="G6"/>
  <c r="G47" i="69"/>
  <c r="G38"/>
  <c r="G23"/>
  <c r="B10"/>
  <c r="G6"/>
  <c r="G47" i="68"/>
  <c r="G38"/>
  <c r="G23"/>
  <c r="B10"/>
  <c r="G6"/>
  <c r="G6" i="67"/>
  <c r="B10"/>
  <c r="G38"/>
  <c r="G47"/>
  <c r="G6" i="66"/>
  <c r="B10"/>
  <c r="G23"/>
  <c r="G38"/>
  <c r="G47"/>
  <c r="G47" i="65"/>
  <c r="G38"/>
  <c r="G23"/>
  <c r="B10"/>
  <c r="G6"/>
  <c r="G47" i="64"/>
  <c r="G38"/>
  <c r="G23"/>
  <c r="B10"/>
  <c r="G6"/>
  <c r="G47" i="63"/>
  <c r="G38"/>
  <c r="G23"/>
  <c r="B10"/>
  <c r="G6"/>
  <c r="G47" i="62"/>
  <c r="G38"/>
  <c r="G23"/>
  <c r="B10"/>
  <c r="G6"/>
  <c r="G6" i="61"/>
  <c r="B10"/>
  <c r="G23"/>
  <c r="G38"/>
  <c r="G47"/>
  <c r="G47" i="60"/>
  <c r="G38"/>
  <c r="G23"/>
  <c r="B10"/>
  <c r="G6"/>
  <c r="G47" i="59"/>
  <c r="G38"/>
  <c r="G23"/>
  <c r="B10"/>
  <c r="G6"/>
  <c r="G47" i="58"/>
  <c r="G38"/>
  <c r="G23"/>
  <c r="B10"/>
  <c r="G6"/>
  <c r="G47" i="57"/>
  <c r="G38"/>
  <c r="G23"/>
  <c r="B10"/>
  <c r="G6"/>
  <c r="G47" i="56"/>
  <c r="G38"/>
  <c r="G23"/>
  <c r="B10"/>
  <c r="G6"/>
  <c r="G47" i="55"/>
  <c r="G38"/>
  <c r="B10"/>
  <c r="G6"/>
  <c r="G47" i="54"/>
  <c r="G38"/>
  <c r="G23"/>
  <c r="B10"/>
  <c r="G6"/>
  <c r="B5" i="5"/>
  <c r="B5" i="4"/>
  <c r="B5" i="3"/>
  <c r="B5" i="2"/>
  <c r="G47" i="5"/>
  <c r="G47" i="4"/>
  <c r="G47" i="3"/>
  <c r="G38" i="4"/>
  <c r="G47" i="2"/>
  <c r="G38" i="3"/>
  <c r="B10" i="4"/>
  <c r="B10" i="3"/>
  <c r="B10" i="2"/>
  <c r="G6" i="4"/>
  <c r="G6" i="3"/>
  <c r="G16" i="4"/>
  <c r="G18" s="1"/>
  <c r="G16" i="2"/>
  <c r="G6"/>
  <c r="G38" i="5"/>
  <c r="G6"/>
  <c r="B10"/>
  <c r="G23" i="2"/>
  <c r="G23" i="5"/>
  <c r="G23" i="4"/>
  <c r="G23" i="3"/>
  <c r="H18" i="2" l="1"/>
  <c r="C54" i="100"/>
  <c r="C55"/>
  <c r="C51"/>
  <c r="C57" s="1"/>
  <c r="C56"/>
  <c r="C52"/>
  <c r="C53"/>
  <c r="H45"/>
  <c r="H41"/>
  <c r="H46"/>
  <c r="H42"/>
  <c r="H43"/>
  <c r="H44"/>
  <c r="H34"/>
  <c r="H35"/>
  <c r="H31"/>
  <c r="H36"/>
  <c r="H32"/>
  <c r="H37"/>
  <c r="H33"/>
  <c r="C47"/>
  <c r="C46"/>
  <c r="C48" s="1"/>
  <c r="C8"/>
  <c r="C9"/>
  <c r="H4"/>
  <c r="H5"/>
  <c r="H22"/>
  <c r="H20"/>
  <c r="H21"/>
  <c r="C22"/>
  <c r="C23"/>
  <c r="C24"/>
  <c r="C20"/>
  <c r="C25"/>
  <c r="C21"/>
  <c r="H50"/>
  <c r="H52" s="1"/>
  <c r="H51"/>
  <c r="C15"/>
  <c r="C16"/>
  <c r="C8" i="99"/>
  <c r="C9"/>
  <c r="C22"/>
  <c r="C23"/>
  <c r="C24"/>
  <c r="C20"/>
  <c r="C26" s="1"/>
  <c r="C25"/>
  <c r="C21"/>
  <c r="C54"/>
  <c r="C55"/>
  <c r="C51"/>
  <c r="C56"/>
  <c r="C52"/>
  <c r="C53"/>
  <c r="C15"/>
  <c r="C17" s="1"/>
  <c r="C16"/>
  <c r="C47"/>
  <c r="C46"/>
  <c r="C48" s="1"/>
  <c r="H4"/>
  <c r="H6" s="1"/>
  <c r="H5"/>
  <c r="H45"/>
  <c r="H41"/>
  <c r="H46"/>
  <c r="H42"/>
  <c r="H43"/>
  <c r="H44"/>
  <c r="H34"/>
  <c r="H35"/>
  <c r="H31"/>
  <c r="H36"/>
  <c r="H32"/>
  <c r="H37"/>
  <c r="H33"/>
  <c r="C40"/>
  <c r="C41"/>
  <c r="C37"/>
  <c r="C42"/>
  <c r="C38"/>
  <c r="C39"/>
  <c r="H22"/>
  <c r="H20"/>
  <c r="H21"/>
  <c r="H23" s="1"/>
  <c r="C33"/>
  <c r="C29"/>
  <c r="C30"/>
  <c r="C31"/>
  <c r="C32"/>
  <c r="H50"/>
  <c r="H51"/>
  <c r="H4" i="98"/>
  <c r="H5"/>
  <c r="H45"/>
  <c r="H41"/>
  <c r="H46"/>
  <c r="H42"/>
  <c r="H43"/>
  <c r="H44"/>
  <c r="C54"/>
  <c r="C55"/>
  <c r="C51"/>
  <c r="C56"/>
  <c r="C52"/>
  <c r="C53"/>
  <c r="H34"/>
  <c r="H35"/>
  <c r="H31"/>
  <c r="H36"/>
  <c r="H32"/>
  <c r="H38" s="1"/>
  <c r="H37"/>
  <c r="H33"/>
  <c r="C47"/>
  <c r="C46"/>
  <c r="C48" s="1"/>
  <c r="H22"/>
  <c r="H20"/>
  <c r="H21"/>
  <c r="H23" s="1"/>
  <c r="C40"/>
  <c r="C41"/>
  <c r="C37"/>
  <c r="C42"/>
  <c r="C38"/>
  <c r="C39"/>
  <c r="H50"/>
  <c r="H51"/>
  <c r="C8"/>
  <c r="C10" s="1"/>
  <c r="C9"/>
  <c r="C33"/>
  <c r="C29"/>
  <c r="C30"/>
  <c r="C34" s="1"/>
  <c r="C31"/>
  <c r="C32"/>
  <c r="C22"/>
  <c r="C23"/>
  <c r="C24"/>
  <c r="C20"/>
  <c r="C25"/>
  <c r="C21"/>
  <c r="C15"/>
  <c r="C16"/>
  <c r="C47" i="97"/>
  <c r="C46"/>
  <c r="C15"/>
  <c r="C17" s="1"/>
  <c r="C16"/>
  <c r="H22"/>
  <c r="H20"/>
  <c r="H21"/>
  <c r="H23" s="1"/>
  <c r="C40"/>
  <c r="C41"/>
  <c r="C37"/>
  <c r="C43" s="1"/>
  <c r="C42"/>
  <c r="C38"/>
  <c r="C39"/>
  <c r="H50"/>
  <c r="H52" s="1"/>
  <c r="H51"/>
  <c r="H4"/>
  <c r="H5"/>
  <c r="H45"/>
  <c r="H41"/>
  <c r="H46"/>
  <c r="H42"/>
  <c r="H43"/>
  <c r="H44"/>
  <c r="H34"/>
  <c r="H35"/>
  <c r="H31"/>
  <c r="H36"/>
  <c r="H32"/>
  <c r="H37"/>
  <c r="H33"/>
  <c r="C8"/>
  <c r="C10" s="1"/>
  <c r="C9"/>
  <c r="C33"/>
  <c r="C29"/>
  <c r="C30"/>
  <c r="C31"/>
  <c r="C32"/>
  <c r="C22"/>
  <c r="C23"/>
  <c r="C24"/>
  <c r="C20"/>
  <c r="C25"/>
  <c r="C21"/>
  <c r="C54"/>
  <c r="C55"/>
  <c r="C51"/>
  <c r="C56"/>
  <c r="C52"/>
  <c r="C53"/>
  <c r="C33" i="96"/>
  <c r="C29"/>
  <c r="C30"/>
  <c r="C34" s="1"/>
  <c r="C31"/>
  <c r="C32"/>
  <c r="C8"/>
  <c r="C9"/>
  <c r="H4"/>
  <c r="H5"/>
  <c r="H34"/>
  <c r="H35"/>
  <c r="H31"/>
  <c r="H36"/>
  <c r="H32"/>
  <c r="H37"/>
  <c r="H33"/>
  <c r="C15"/>
  <c r="C16"/>
  <c r="C54"/>
  <c r="C55"/>
  <c r="C51"/>
  <c r="C56"/>
  <c r="C52"/>
  <c r="C53"/>
  <c r="H45"/>
  <c r="H41"/>
  <c r="H46"/>
  <c r="H42"/>
  <c r="H43"/>
  <c r="H44"/>
  <c r="H22"/>
  <c r="H20"/>
  <c r="H21"/>
  <c r="C47"/>
  <c r="C46"/>
  <c r="H50"/>
  <c r="H52" s="1"/>
  <c r="H51"/>
  <c r="C40"/>
  <c r="C41"/>
  <c r="C37"/>
  <c r="C42"/>
  <c r="C38"/>
  <c r="C39"/>
  <c r="C22"/>
  <c r="C23"/>
  <c r="C24"/>
  <c r="C20"/>
  <c r="C25"/>
  <c r="C21"/>
  <c r="H4" i="95"/>
  <c r="H5"/>
  <c r="H45"/>
  <c r="H41"/>
  <c r="H46"/>
  <c r="H42"/>
  <c r="H43"/>
  <c r="H44"/>
  <c r="H34"/>
  <c r="H35"/>
  <c r="H31"/>
  <c r="H36"/>
  <c r="H32"/>
  <c r="H37"/>
  <c r="H33"/>
  <c r="C22"/>
  <c r="C23"/>
  <c r="C24"/>
  <c r="C20"/>
  <c r="C25"/>
  <c r="C21"/>
  <c r="C54"/>
  <c r="C55"/>
  <c r="C51"/>
  <c r="C56"/>
  <c r="C52"/>
  <c r="C53"/>
  <c r="H22"/>
  <c r="H20"/>
  <c r="H21"/>
  <c r="H23" s="1"/>
  <c r="C15"/>
  <c r="C17" s="1"/>
  <c r="C16"/>
  <c r="C47"/>
  <c r="C46"/>
  <c r="C48" s="1"/>
  <c r="H50"/>
  <c r="H52" s="1"/>
  <c r="H51"/>
  <c r="C8"/>
  <c r="C9"/>
  <c r="C40"/>
  <c r="C41"/>
  <c r="C37"/>
  <c r="C42"/>
  <c r="C38"/>
  <c r="C39"/>
  <c r="C33"/>
  <c r="C29"/>
  <c r="C30"/>
  <c r="C34" s="1"/>
  <c r="C31"/>
  <c r="C32"/>
  <c r="C46" i="94"/>
  <c r="C47"/>
  <c r="H4"/>
  <c r="H6" s="1"/>
  <c r="H5"/>
  <c r="H22"/>
  <c r="H20"/>
  <c r="H23" s="1"/>
  <c r="H21"/>
  <c r="C23"/>
  <c r="C24"/>
  <c r="C20"/>
  <c r="C26" s="1"/>
  <c r="C25"/>
  <c r="C21"/>
  <c r="C22"/>
  <c r="C55"/>
  <c r="C51"/>
  <c r="C56"/>
  <c r="C52"/>
  <c r="C53"/>
  <c r="C54"/>
  <c r="H50"/>
  <c r="H51"/>
  <c r="C16"/>
  <c r="C15"/>
  <c r="C17" s="1"/>
  <c r="C9"/>
  <c r="C8"/>
  <c r="C10" s="1"/>
  <c r="H45"/>
  <c r="H41"/>
  <c r="H46"/>
  <c r="H42"/>
  <c r="H43"/>
  <c r="H44"/>
  <c r="C41"/>
  <c r="C37"/>
  <c r="C42"/>
  <c r="C38"/>
  <c r="C39"/>
  <c r="C40"/>
  <c r="H34"/>
  <c r="H35"/>
  <c r="H31"/>
  <c r="H36"/>
  <c r="H32"/>
  <c r="H38" s="1"/>
  <c r="H37"/>
  <c r="H33"/>
  <c r="C30"/>
  <c r="C31"/>
  <c r="C32"/>
  <c r="C33"/>
  <c r="C29"/>
  <c r="H20" i="93"/>
  <c r="H21"/>
  <c r="H23" s="1"/>
  <c r="H22"/>
  <c r="C55"/>
  <c r="C51"/>
  <c r="C56"/>
  <c r="C52"/>
  <c r="C53"/>
  <c r="C54"/>
  <c r="H34"/>
  <c r="H35"/>
  <c r="H31"/>
  <c r="H32"/>
  <c r="H36"/>
  <c r="H37"/>
  <c r="H33"/>
  <c r="C41"/>
  <c r="C37"/>
  <c r="C42"/>
  <c r="C38"/>
  <c r="C39"/>
  <c r="C40"/>
  <c r="C30"/>
  <c r="C31"/>
  <c r="C32"/>
  <c r="C33"/>
  <c r="C29"/>
  <c r="H50"/>
  <c r="H51"/>
  <c r="C9"/>
  <c r="C8"/>
  <c r="C23"/>
  <c r="C24"/>
  <c r="C25"/>
  <c r="C21"/>
  <c r="C22"/>
  <c r="C20"/>
  <c r="H5"/>
  <c r="H4"/>
  <c r="H6" s="1"/>
  <c r="H45"/>
  <c r="H41"/>
  <c r="H46"/>
  <c r="H42"/>
  <c r="H43"/>
  <c r="H44"/>
  <c r="C16"/>
  <c r="C15"/>
  <c r="C17" s="1"/>
  <c r="C46"/>
  <c r="C47"/>
  <c r="H34" i="92"/>
  <c r="H31"/>
  <c r="H36"/>
  <c r="H32"/>
  <c r="H37"/>
  <c r="H33"/>
  <c r="H35"/>
  <c r="C42"/>
  <c r="C38"/>
  <c r="C40"/>
  <c r="C41"/>
  <c r="C37"/>
  <c r="C39"/>
  <c r="H50"/>
  <c r="H52" s="1"/>
  <c r="H51"/>
  <c r="H4"/>
  <c r="H5"/>
  <c r="H45"/>
  <c r="H41"/>
  <c r="H42"/>
  <c r="H46"/>
  <c r="H43"/>
  <c r="H44"/>
  <c r="C24"/>
  <c r="C20"/>
  <c r="C21"/>
  <c r="C25"/>
  <c r="C22"/>
  <c r="C23"/>
  <c r="C56"/>
  <c r="C52"/>
  <c r="C53"/>
  <c r="C54"/>
  <c r="C55"/>
  <c r="C51"/>
  <c r="C57" s="1"/>
  <c r="C15"/>
  <c r="C16"/>
  <c r="C46"/>
  <c r="C47"/>
  <c r="H22"/>
  <c r="H20"/>
  <c r="H21"/>
  <c r="H23" s="1"/>
  <c r="C8"/>
  <c r="C10" s="1"/>
  <c r="C9"/>
  <c r="C31"/>
  <c r="C32"/>
  <c r="C33"/>
  <c r="C29"/>
  <c r="C30"/>
  <c r="C9" i="91"/>
  <c r="C8"/>
  <c r="C10" s="1"/>
  <c r="C39"/>
  <c r="C41"/>
  <c r="C37"/>
  <c r="C42"/>
  <c r="C38"/>
  <c r="C40"/>
  <c r="C32"/>
  <c r="C29"/>
  <c r="C33"/>
  <c r="C30"/>
  <c r="C31"/>
  <c r="H4"/>
  <c r="H5"/>
  <c r="H45"/>
  <c r="H41"/>
  <c r="H42"/>
  <c r="H46"/>
  <c r="H43"/>
  <c r="H44"/>
  <c r="H34"/>
  <c r="H31"/>
  <c r="H36"/>
  <c r="H32"/>
  <c r="H37"/>
  <c r="H33"/>
  <c r="H35"/>
  <c r="C25"/>
  <c r="C21"/>
  <c r="C23"/>
  <c r="C24"/>
  <c r="C20"/>
  <c r="C22"/>
  <c r="C53"/>
  <c r="C54"/>
  <c r="C55"/>
  <c r="C51"/>
  <c r="C57" s="1"/>
  <c r="C56"/>
  <c r="C52"/>
  <c r="H22"/>
  <c r="H20"/>
  <c r="H21"/>
  <c r="C15"/>
  <c r="C16"/>
  <c r="C46"/>
  <c r="C48" s="1"/>
  <c r="C47"/>
  <c r="H50"/>
  <c r="H51"/>
  <c r="H4" i="90"/>
  <c r="H5"/>
  <c r="H22"/>
  <c r="H20"/>
  <c r="H21"/>
  <c r="C15"/>
  <c r="C17" s="1"/>
  <c r="C16"/>
  <c r="C54"/>
  <c r="C51"/>
  <c r="C55"/>
  <c r="C56"/>
  <c r="C52"/>
  <c r="C53"/>
  <c r="H50"/>
  <c r="H52" s="1"/>
  <c r="H51"/>
  <c r="C47"/>
  <c r="C46"/>
  <c r="C48" s="1"/>
  <c r="C8"/>
  <c r="C10" s="1"/>
  <c r="C9"/>
  <c r="H45"/>
  <c r="H41"/>
  <c r="H46"/>
  <c r="H43"/>
  <c r="H44"/>
  <c r="H42"/>
  <c r="C40"/>
  <c r="C37"/>
  <c r="C42"/>
  <c r="C38"/>
  <c r="C39"/>
  <c r="C41"/>
  <c r="H34"/>
  <c r="H35"/>
  <c r="H36"/>
  <c r="H32"/>
  <c r="H37"/>
  <c r="H33"/>
  <c r="H31"/>
  <c r="H38" s="1"/>
  <c r="C33"/>
  <c r="C29"/>
  <c r="C30"/>
  <c r="C31"/>
  <c r="C32"/>
  <c r="H20" i="89"/>
  <c r="H21"/>
  <c r="H23" s="1"/>
  <c r="H22"/>
  <c r="C46"/>
  <c r="C47"/>
  <c r="H35"/>
  <c r="H31"/>
  <c r="H36"/>
  <c r="H32"/>
  <c r="H37"/>
  <c r="H33"/>
  <c r="H34"/>
  <c r="C31"/>
  <c r="C29"/>
  <c r="C32"/>
  <c r="C33"/>
  <c r="C30"/>
  <c r="C24"/>
  <c r="C20"/>
  <c r="C25"/>
  <c r="C21"/>
  <c r="C22"/>
  <c r="C23"/>
  <c r="C56"/>
  <c r="C52"/>
  <c r="C53"/>
  <c r="C54"/>
  <c r="C55"/>
  <c r="C51"/>
  <c r="C57" s="1"/>
  <c r="H50"/>
  <c r="H52" s="1"/>
  <c r="H51"/>
  <c r="C8"/>
  <c r="C9"/>
  <c r="C15"/>
  <c r="C17" s="1"/>
  <c r="C16"/>
  <c r="H4"/>
  <c r="H5"/>
  <c r="H45"/>
  <c r="H46"/>
  <c r="H42"/>
  <c r="H43"/>
  <c r="H44"/>
  <c r="H41"/>
  <c r="C42"/>
  <c r="C38"/>
  <c r="C40"/>
  <c r="C39"/>
  <c r="C41"/>
  <c r="C37"/>
  <c r="C43" s="1"/>
  <c r="C33" i="88"/>
  <c r="C29"/>
  <c r="C30"/>
  <c r="C34" s="1"/>
  <c r="C31"/>
  <c r="C32"/>
  <c r="H50"/>
  <c r="H52" s="1"/>
  <c r="H51"/>
  <c r="H5"/>
  <c r="H4"/>
  <c r="H6" s="1"/>
  <c r="C54"/>
  <c r="C55"/>
  <c r="C51"/>
  <c r="C56"/>
  <c r="C52"/>
  <c r="C53"/>
  <c r="H45"/>
  <c r="H46"/>
  <c r="H42"/>
  <c r="H43"/>
  <c r="H44"/>
  <c r="H41"/>
  <c r="C15"/>
  <c r="C17" s="1"/>
  <c r="C16"/>
  <c r="C47"/>
  <c r="C46"/>
  <c r="C8"/>
  <c r="C10" s="1"/>
  <c r="C9"/>
  <c r="C22"/>
  <c r="C23"/>
  <c r="C24"/>
  <c r="C20"/>
  <c r="C25"/>
  <c r="C21"/>
  <c r="H35"/>
  <c r="H31"/>
  <c r="H36"/>
  <c r="H32"/>
  <c r="H34"/>
  <c r="H37"/>
  <c r="H33"/>
  <c r="C40"/>
  <c r="C41"/>
  <c r="C37"/>
  <c r="C42"/>
  <c r="C38"/>
  <c r="C39"/>
  <c r="H45" i="87"/>
  <c r="H46"/>
  <c r="H42"/>
  <c r="H43"/>
  <c r="H44"/>
  <c r="H41"/>
  <c r="H47" s="1"/>
  <c r="H35"/>
  <c r="H31"/>
  <c r="H36"/>
  <c r="H32"/>
  <c r="H38" s="1"/>
  <c r="H34"/>
  <c r="H37"/>
  <c r="H33"/>
  <c r="C15"/>
  <c r="C17" s="1"/>
  <c r="C16"/>
  <c r="C56"/>
  <c r="C52"/>
  <c r="C53"/>
  <c r="C54"/>
  <c r="C55"/>
  <c r="C51"/>
  <c r="C8"/>
  <c r="C10" s="1"/>
  <c r="C9"/>
  <c r="H4"/>
  <c r="H5"/>
  <c r="C24"/>
  <c r="C20"/>
  <c r="C25"/>
  <c r="C21"/>
  <c r="C22"/>
  <c r="C23"/>
  <c r="H20"/>
  <c r="H22"/>
  <c r="H21"/>
  <c r="H23" s="1"/>
  <c r="C46"/>
  <c r="C48" s="1"/>
  <c r="C47"/>
  <c r="C31"/>
  <c r="C32"/>
  <c r="C33"/>
  <c r="C29"/>
  <c r="C30"/>
  <c r="H50"/>
  <c r="H52" s="1"/>
  <c r="H51"/>
  <c r="H4" i="86"/>
  <c r="H5"/>
  <c r="C22"/>
  <c r="C23"/>
  <c r="C24"/>
  <c r="C20"/>
  <c r="C26" s="1"/>
  <c r="C25"/>
  <c r="C21"/>
  <c r="C8"/>
  <c r="C9"/>
  <c r="C40"/>
  <c r="C41"/>
  <c r="C42"/>
  <c r="C38"/>
  <c r="C39"/>
  <c r="C37"/>
  <c r="H50"/>
  <c r="H51"/>
  <c r="C33"/>
  <c r="C29"/>
  <c r="C31"/>
  <c r="C32"/>
  <c r="C30"/>
  <c r="H45"/>
  <c r="H41"/>
  <c r="H46"/>
  <c r="H43"/>
  <c r="H44"/>
  <c r="H42"/>
  <c r="H34"/>
  <c r="H31"/>
  <c r="H35"/>
  <c r="H36"/>
  <c r="H32"/>
  <c r="H38" s="1"/>
  <c r="H37"/>
  <c r="H33"/>
  <c r="C54"/>
  <c r="C51"/>
  <c r="C56"/>
  <c r="C52"/>
  <c r="C53"/>
  <c r="C55"/>
  <c r="H22"/>
  <c r="H20"/>
  <c r="H21"/>
  <c r="C15"/>
  <c r="C17" s="1"/>
  <c r="C16"/>
  <c r="C47"/>
  <c r="C46"/>
  <c r="C48" s="1"/>
  <c r="H4" i="85"/>
  <c r="H5"/>
  <c r="H22"/>
  <c r="H21"/>
  <c r="H20"/>
  <c r="C16"/>
  <c r="C15"/>
  <c r="C17" s="1"/>
  <c r="C56"/>
  <c r="C52"/>
  <c r="C55"/>
  <c r="C51"/>
  <c r="C57" s="1"/>
  <c r="C53"/>
  <c r="C54"/>
  <c r="H50"/>
  <c r="H51"/>
  <c r="C9"/>
  <c r="C8"/>
  <c r="C10" s="1"/>
  <c r="C46"/>
  <c r="C48" s="1"/>
  <c r="C47"/>
  <c r="H45"/>
  <c r="H41"/>
  <c r="H46"/>
  <c r="H42"/>
  <c r="H43"/>
  <c r="H44"/>
  <c r="C42"/>
  <c r="C38"/>
  <c r="C39"/>
  <c r="C41"/>
  <c r="C37"/>
  <c r="C43" s="1"/>
  <c r="C40"/>
  <c r="H34"/>
  <c r="H36"/>
  <c r="H32"/>
  <c r="H35"/>
  <c r="H31"/>
  <c r="H33"/>
  <c r="H37"/>
  <c r="C24"/>
  <c r="C20"/>
  <c r="C25"/>
  <c r="C23"/>
  <c r="C21"/>
  <c r="C22"/>
  <c r="C31"/>
  <c r="C32"/>
  <c r="C30"/>
  <c r="C33"/>
  <c r="C29"/>
  <c r="H22" i="84"/>
  <c r="H20"/>
  <c r="H23" s="1"/>
  <c r="H21"/>
  <c r="C23"/>
  <c r="C20"/>
  <c r="C25"/>
  <c r="C22"/>
  <c r="C24"/>
  <c r="C21"/>
  <c r="C9"/>
  <c r="C8"/>
  <c r="C16"/>
  <c r="C15"/>
  <c r="C17" s="1"/>
  <c r="H34"/>
  <c r="H31"/>
  <c r="H37"/>
  <c r="H33"/>
  <c r="H35"/>
  <c r="H36"/>
  <c r="H32"/>
  <c r="C30"/>
  <c r="C31"/>
  <c r="C32"/>
  <c r="C33"/>
  <c r="C29"/>
  <c r="C55"/>
  <c r="C51"/>
  <c r="C52"/>
  <c r="C53"/>
  <c r="C54"/>
  <c r="C56"/>
  <c r="C47"/>
  <c r="C46"/>
  <c r="C48" s="1"/>
  <c r="H50"/>
  <c r="H52" s="1"/>
  <c r="H51"/>
  <c r="H4"/>
  <c r="H5"/>
  <c r="H45"/>
  <c r="H41"/>
  <c r="H42"/>
  <c r="H43"/>
  <c r="H44"/>
  <c r="H46"/>
  <c r="C41"/>
  <c r="C37"/>
  <c r="C39"/>
  <c r="C42"/>
  <c r="C40"/>
  <c r="C38"/>
  <c r="H34" i="83"/>
  <c r="H35"/>
  <c r="H32"/>
  <c r="H37"/>
  <c r="H33"/>
  <c r="H31"/>
  <c r="H36"/>
  <c r="C31"/>
  <c r="C32"/>
  <c r="C33"/>
  <c r="C29"/>
  <c r="C30"/>
  <c r="C34" s="1"/>
  <c r="H4"/>
  <c r="H5"/>
  <c r="H45"/>
  <c r="H41"/>
  <c r="H42"/>
  <c r="H43"/>
  <c r="H44"/>
  <c r="H46"/>
  <c r="C46"/>
  <c r="C47"/>
  <c r="C42"/>
  <c r="C38"/>
  <c r="C40"/>
  <c r="C41"/>
  <c r="C39"/>
  <c r="C37"/>
  <c r="C43" s="1"/>
  <c r="H22"/>
  <c r="H21"/>
  <c r="H20"/>
  <c r="C8"/>
  <c r="C10" s="1"/>
  <c r="C9"/>
  <c r="C16"/>
  <c r="C15"/>
  <c r="C17" s="1"/>
  <c r="C56"/>
  <c r="C52"/>
  <c r="C54"/>
  <c r="C53"/>
  <c r="C55"/>
  <c r="C51"/>
  <c r="H50"/>
  <c r="H52" s="1"/>
  <c r="H51"/>
  <c r="H4" i="82"/>
  <c r="H5"/>
  <c r="H45"/>
  <c r="H41"/>
  <c r="H46"/>
  <c r="H43"/>
  <c r="H44"/>
  <c r="H42"/>
  <c r="H34"/>
  <c r="H35"/>
  <c r="H36"/>
  <c r="H32"/>
  <c r="H37"/>
  <c r="H33"/>
  <c r="H31"/>
  <c r="C8"/>
  <c r="C9"/>
  <c r="C25"/>
  <c r="C21"/>
  <c r="C24"/>
  <c r="C20"/>
  <c r="C22"/>
  <c r="C23"/>
  <c r="C53"/>
  <c r="C55"/>
  <c r="C51"/>
  <c r="C57" s="1"/>
  <c r="C56"/>
  <c r="C52"/>
  <c r="C54"/>
  <c r="H51"/>
  <c r="H50"/>
  <c r="C16"/>
  <c r="C15"/>
  <c r="C17" s="1"/>
  <c r="C46"/>
  <c r="C48" s="1"/>
  <c r="C47"/>
  <c r="C39"/>
  <c r="C40"/>
  <c r="C37"/>
  <c r="C43" s="1"/>
  <c r="C42"/>
  <c r="C38"/>
  <c r="C41"/>
  <c r="H22"/>
  <c r="H20"/>
  <c r="H21"/>
  <c r="C32"/>
  <c r="C29"/>
  <c r="C34" s="1"/>
  <c r="C30"/>
  <c r="C31"/>
  <c r="C33"/>
  <c r="H4" i="81"/>
  <c r="H6" s="1"/>
  <c r="H5"/>
  <c r="C23"/>
  <c r="C24"/>
  <c r="C20"/>
  <c r="C26" s="1"/>
  <c r="C22"/>
  <c r="C25"/>
  <c r="C21"/>
  <c r="H50"/>
  <c r="H52" s="1"/>
  <c r="H51"/>
  <c r="H34"/>
  <c r="H36"/>
  <c r="H32"/>
  <c r="H37"/>
  <c r="H33"/>
  <c r="H35"/>
  <c r="H31"/>
  <c r="C9"/>
  <c r="C8"/>
  <c r="C41"/>
  <c r="C37"/>
  <c r="C42"/>
  <c r="C38"/>
  <c r="C40"/>
  <c r="C39"/>
  <c r="H46"/>
  <c r="H43"/>
  <c r="H41"/>
  <c r="H42"/>
  <c r="H44"/>
  <c r="H45"/>
  <c r="C15"/>
  <c r="C16"/>
  <c r="C54"/>
  <c r="C55"/>
  <c r="C51"/>
  <c r="C56"/>
  <c r="C52"/>
  <c r="C53"/>
  <c r="C46"/>
  <c r="C47"/>
  <c r="C33"/>
  <c r="C30"/>
  <c r="C31"/>
  <c r="C32"/>
  <c r="C29"/>
  <c r="H4" i="80"/>
  <c r="H5"/>
  <c r="H46"/>
  <c r="H43"/>
  <c r="H41"/>
  <c r="H44"/>
  <c r="H45"/>
  <c r="H42"/>
  <c r="C33"/>
  <c r="C29"/>
  <c r="C30"/>
  <c r="C31"/>
  <c r="C32"/>
  <c r="H50"/>
  <c r="H52" s="1"/>
  <c r="H51"/>
  <c r="H36"/>
  <c r="H32"/>
  <c r="H34"/>
  <c r="H35"/>
  <c r="H37"/>
  <c r="H33"/>
  <c r="H31"/>
  <c r="H38" s="1"/>
  <c r="C22"/>
  <c r="C23"/>
  <c r="C25"/>
  <c r="C24"/>
  <c r="C20"/>
  <c r="C21"/>
  <c r="H20"/>
  <c r="H21"/>
  <c r="H23" s="1"/>
  <c r="H22"/>
  <c r="C15"/>
  <c r="C16"/>
  <c r="C47"/>
  <c r="C46"/>
  <c r="C54"/>
  <c r="C55"/>
  <c r="C51"/>
  <c r="C57" s="1"/>
  <c r="C56"/>
  <c r="C52"/>
  <c r="C53"/>
  <c r="C8"/>
  <c r="C10" s="1"/>
  <c r="C9"/>
  <c r="C40"/>
  <c r="C41"/>
  <c r="C37"/>
  <c r="C43" s="1"/>
  <c r="C42"/>
  <c r="C38"/>
  <c r="C39"/>
  <c r="H45" i="79"/>
  <c r="H41"/>
  <c r="H46"/>
  <c r="H42"/>
  <c r="H43"/>
  <c r="H44"/>
  <c r="H34"/>
  <c r="H35"/>
  <c r="H31"/>
  <c r="H36"/>
  <c r="H32"/>
  <c r="H38" s="1"/>
  <c r="H37"/>
  <c r="H33"/>
  <c r="H22"/>
  <c r="H20"/>
  <c r="H21"/>
  <c r="C24"/>
  <c r="C20"/>
  <c r="C25"/>
  <c r="C21"/>
  <c r="C23"/>
  <c r="C22"/>
  <c r="C55"/>
  <c r="C56"/>
  <c r="C52"/>
  <c r="C53"/>
  <c r="C54"/>
  <c r="C51"/>
  <c r="H4"/>
  <c r="H5"/>
  <c r="C31"/>
  <c r="C32"/>
  <c r="C33"/>
  <c r="C29"/>
  <c r="C30"/>
  <c r="C34" s="1"/>
  <c r="C8"/>
  <c r="C9"/>
  <c r="C16"/>
  <c r="C15"/>
  <c r="C17" s="1"/>
  <c r="C46"/>
  <c r="C47"/>
  <c r="C37"/>
  <c r="C42"/>
  <c r="C38"/>
  <c r="C39"/>
  <c r="C41"/>
  <c r="C40"/>
  <c r="H50"/>
  <c r="H51"/>
  <c r="C9" i="78"/>
  <c r="C8"/>
  <c r="C10" s="1"/>
  <c r="H4"/>
  <c r="H6" s="1"/>
  <c r="H5"/>
  <c r="H45"/>
  <c r="H41"/>
  <c r="H44"/>
  <c r="H46"/>
  <c r="H42"/>
  <c r="H43"/>
  <c r="C16"/>
  <c r="C15"/>
  <c r="C46"/>
  <c r="C47"/>
  <c r="H51"/>
  <c r="H50"/>
  <c r="C41"/>
  <c r="C37"/>
  <c r="C42"/>
  <c r="C38"/>
  <c r="C39"/>
  <c r="C40"/>
  <c r="H34"/>
  <c r="H33"/>
  <c r="H35"/>
  <c r="H31"/>
  <c r="H37"/>
  <c r="H36"/>
  <c r="H32"/>
  <c r="H38" s="1"/>
  <c r="H22"/>
  <c r="H21"/>
  <c r="H20"/>
  <c r="C30"/>
  <c r="C31"/>
  <c r="C32"/>
  <c r="C33"/>
  <c r="C29"/>
  <c r="C34" s="1"/>
  <c r="C23"/>
  <c r="C24"/>
  <c r="C20"/>
  <c r="C25"/>
  <c r="C21"/>
  <c r="C22"/>
  <c r="C55"/>
  <c r="C51"/>
  <c r="C56"/>
  <c r="C52"/>
  <c r="C53"/>
  <c r="C54"/>
  <c r="H4" i="77"/>
  <c r="H5"/>
  <c r="C56"/>
  <c r="C52"/>
  <c r="C55"/>
  <c r="C51"/>
  <c r="C57" s="1"/>
  <c r="C53"/>
  <c r="C54"/>
  <c r="C8"/>
  <c r="C9"/>
  <c r="C24"/>
  <c r="C20"/>
  <c r="C21"/>
  <c r="C22"/>
  <c r="C25"/>
  <c r="C23"/>
  <c r="C15"/>
  <c r="C16"/>
  <c r="H50"/>
  <c r="H52" s="1"/>
  <c r="H51"/>
  <c r="H34"/>
  <c r="H35"/>
  <c r="H36"/>
  <c r="H32"/>
  <c r="H37"/>
  <c r="H33"/>
  <c r="H31"/>
  <c r="H45"/>
  <c r="H41"/>
  <c r="H42"/>
  <c r="H44"/>
  <c r="H46"/>
  <c r="H43"/>
  <c r="C46"/>
  <c r="C48" s="1"/>
  <c r="C47"/>
  <c r="H22"/>
  <c r="H20"/>
  <c r="H21"/>
  <c r="C42"/>
  <c r="C38"/>
  <c r="C39"/>
  <c r="C40"/>
  <c r="C41"/>
  <c r="C37"/>
  <c r="C31"/>
  <c r="C33"/>
  <c r="C30"/>
  <c r="C32"/>
  <c r="C29"/>
  <c r="H35" i="76"/>
  <c r="H31"/>
  <c r="H37"/>
  <c r="H34"/>
  <c r="H36"/>
  <c r="H32"/>
  <c r="H33"/>
  <c r="C8"/>
  <c r="C9"/>
  <c r="C25"/>
  <c r="C21"/>
  <c r="C23"/>
  <c r="C24"/>
  <c r="C22"/>
  <c r="C20"/>
  <c r="C26" s="1"/>
  <c r="C56"/>
  <c r="C52"/>
  <c r="C53"/>
  <c r="C51"/>
  <c r="C57" s="1"/>
  <c r="C54"/>
  <c r="C55"/>
  <c r="H21"/>
  <c r="H20"/>
  <c r="H22"/>
  <c r="C31"/>
  <c r="C32"/>
  <c r="C33"/>
  <c r="C29"/>
  <c r="C30"/>
  <c r="H5"/>
  <c r="H4"/>
  <c r="H6" s="1"/>
  <c r="H46"/>
  <c r="H42"/>
  <c r="H45"/>
  <c r="H43"/>
  <c r="H44"/>
  <c r="H41"/>
  <c r="C15"/>
  <c r="C17" s="1"/>
  <c r="C16"/>
  <c r="C46"/>
  <c r="C47"/>
  <c r="H51"/>
  <c r="H50"/>
  <c r="C42"/>
  <c r="C38"/>
  <c r="C39"/>
  <c r="C37"/>
  <c r="C43" s="1"/>
  <c r="C40"/>
  <c r="C41"/>
  <c r="H4" i="75"/>
  <c r="H5"/>
  <c r="C31"/>
  <c r="C29"/>
  <c r="C30"/>
  <c r="C32"/>
  <c r="C33"/>
  <c r="H34"/>
  <c r="H36"/>
  <c r="H33"/>
  <c r="H35"/>
  <c r="H31"/>
  <c r="H32"/>
  <c r="H38" s="1"/>
  <c r="H37"/>
  <c r="C16"/>
  <c r="C15"/>
  <c r="C47"/>
  <c r="C46"/>
  <c r="C48" s="1"/>
  <c r="H22"/>
  <c r="H20"/>
  <c r="H21"/>
  <c r="C8"/>
  <c r="C10" s="1"/>
  <c r="C9"/>
  <c r="C42"/>
  <c r="C38"/>
  <c r="C39"/>
  <c r="C41"/>
  <c r="C37"/>
  <c r="C40"/>
  <c r="H45"/>
  <c r="H41"/>
  <c r="H44"/>
  <c r="H46"/>
  <c r="H42"/>
  <c r="H43"/>
  <c r="C24"/>
  <c r="C20"/>
  <c r="C25"/>
  <c r="C21"/>
  <c r="C22"/>
  <c r="C23"/>
  <c r="C56"/>
  <c r="C52"/>
  <c r="C53"/>
  <c r="C54"/>
  <c r="C55"/>
  <c r="C51"/>
  <c r="C57" s="1"/>
  <c r="H50"/>
  <c r="H51"/>
  <c r="H4" i="74"/>
  <c r="H6" s="1"/>
  <c r="H5"/>
  <c r="H36"/>
  <c r="H37"/>
  <c r="H33"/>
  <c r="H34"/>
  <c r="H35"/>
  <c r="H31"/>
  <c r="H32"/>
  <c r="H38" s="1"/>
  <c r="C31"/>
  <c r="C33"/>
  <c r="C32"/>
  <c r="C29"/>
  <c r="C30"/>
  <c r="C34" s="1"/>
  <c r="H20"/>
  <c r="H21"/>
  <c r="H22"/>
  <c r="C24"/>
  <c r="C20"/>
  <c r="C22"/>
  <c r="C23"/>
  <c r="C25"/>
  <c r="C21"/>
  <c r="C55"/>
  <c r="C51"/>
  <c r="C56"/>
  <c r="C52"/>
  <c r="C53"/>
  <c r="C54"/>
  <c r="H46"/>
  <c r="H44"/>
  <c r="H45"/>
  <c r="H41"/>
  <c r="H42"/>
  <c r="H43"/>
  <c r="H50"/>
  <c r="H51"/>
  <c r="C8"/>
  <c r="C9"/>
  <c r="C16"/>
  <c r="C15"/>
  <c r="C17" s="1"/>
  <c r="C47"/>
  <c r="C46"/>
  <c r="C48" s="1"/>
  <c r="C40"/>
  <c r="C41"/>
  <c r="C37"/>
  <c r="C43" s="1"/>
  <c r="C42"/>
  <c r="C38"/>
  <c r="C39"/>
  <c r="H46" i="73"/>
  <c r="H42"/>
  <c r="H41"/>
  <c r="H47" s="1"/>
  <c r="H43"/>
  <c r="H44"/>
  <c r="H45"/>
  <c r="C46"/>
  <c r="C48" s="1"/>
  <c r="C47"/>
  <c r="H20"/>
  <c r="H21"/>
  <c r="H22"/>
  <c r="C32"/>
  <c r="C31"/>
  <c r="C33"/>
  <c r="C29"/>
  <c r="C34" s="1"/>
  <c r="C30"/>
  <c r="H5"/>
  <c r="H4"/>
  <c r="H6" s="1"/>
  <c r="C16"/>
  <c r="C15"/>
  <c r="H34"/>
  <c r="H35"/>
  <c r="H31"/>
  <c r="H37"/>
  <c r="H36"/>
  <c r="H32"/>
  <c r="H38" s="1"/>
  <c r="H33"/>
  <c r="C38"/>
  <c r="C39"/>
  <c r="C37"/>
  <c r="C43" s="1"/>
  <c r="C40"/>
  <c r="C41"/>
  <c r="C42"/>
  <c r="H51"/>
  <c r="H50"/>
  <c r="C8"/>
  <c r="C10" s="1"/>
  <c r="C9"/>
  <c r="C23"/>
  <c r="C20"/>
  <c r="C25"/>
  <c r="C21"/>
  <c r="C22"/>
  <c r="C24"/>
  <c r="C55"/>
  <c r="C56"/>
  <c r="C52"/>
  <c r="C54"/>
  <c r="C51"/>
  <c r="C53"/>
  <c r="C53" i="72"/>
  <c r="C55"/>
  <c r="C51"/>
  <c r="C56"/>
  <c r="C52"/>
  <c r="C54"/>
  <c r="H34"/>
  <c r="H36"/>
  <c r="H35"/>
  <c r="H31"/>
  <c r="H38" s="1"/>
  <c r="H32"/>
  <c r="H37"/>
  <c r="H33"/>
  <c r="C15"/>
  <c r="C17" s="1"/>
  <c r="C16"/>
  <c r="H4"/>
  <c r="H5"/>
  <c r="C32"/>
  <c r="C29"/>
  <c r="C30"/>
  <c r="C31"/>
  <c r="C33"/>
  <c r="H22"/>
  <c r="H21"/>
  <c r="H20"/>
  <c r="H45"/>
  <c r="H41"/>
  <c r="H44"/>
  <c r="H46"/>
  <c r="H42"/>
  <c r="H43"/>
  <c r="C25"/>
  <c r="C21"/>
  <c r="C24"/>
  <c r="C20"/>
  <c r="C26" s="1"/>
  <c r="C22"/>
  <c r="C23"/>
  <c r="C46"/>
  <c r="C47"/>
  <c r="H50"/>
  <c r="H51"/>
  <c r="C8"/>
  <c r="C10" s="1"/>
  <c r="C9"/>
  <c r="C39"/>
  <c r="C40"/>
  <c r="C37"/>
  <c r="C43" s="1"/>
  <c r="C42"/>
  <c r="C38"/>
  <c r="C41"/>
  <c r="H20" i="71"/>
  <c r="H22"/>
  <c r="H21"/>
  <c r="H23" s="1"/>
  <c r="C15"/>
  <c r="C16"/>
  <c r="C46"/>
  <c r="C47"/>
  <c r="H4"/>
  <c r="H5"/>
  <c r="H42"/>
  <c r="H43"/>
  <c r="H41"/>
  <c r="H46"/>
  <c r="H44"/>
  <c r="H45"/>
  <c r="C38"/>
  <c r="C39"/>
  <c r="C41"/>
  <c r="C42"/>
  <c r="C40"/>
  <c r="C37"/>
  <c r="C9"/>
  <c r="C8"/>
  <c r="H36"/>
  <c r="H32"/>
  <c r="H31"/>
  <c r="H37"/>
  <c r="H33"/>
  <c r="H34"/>
  <c r="H35"/>
  <c r="C32"/>
  <c r="C31"/>
  <c r="C33"/>
  <c r="C29"/>
  <c r="C34" s="1"/>
  <c r="C30"/>
  <c r="C56"/>
  <c r="C53"/>
  <c r="C55"/>
  <c r="C54"/>
  <c r="C51"/>
  <c r="C52"/>
  <c r="H50"/>
  <c r="H52" s="1"/>
  <c r="H51"/>
  <c r="C9" i="70"/>
  <c r="C8"/>
  <c r="C10" s="1"/>
  <c r="C15"/>
  <c r="C17" s="1"/>
  <c r="C16"/>
  <c r="H45"/>
  <c r="H41"/>
  <c r="H46"/>
  <c r="H43"/>
  <c r="H44"/>
  <c r="H42"/>
  <c r="C42"/>
  <c r="C38"/>
  <c r="C40"/>
  <c r="C41"/>
  <c r="C37"/>
  <c r="C39"/>
  <c r="H22"/>
  <c r="H20"/>
  <c r="H21"/>
  <c r="H23" s="1"/>
  <c r="C24"/>
  <c r="C20"/>
  <c r="C21"/>
  <c r="C23"/>
  <c r="C25"/>
  <c r="C22"/>
  <c r="C56"/>
  <c r="C52"/>
  <c r="C53"/>
  <c r="C54"/>
  <c r="C55"/>
  <c r="C51"/>
  <c r="C57" s="1"/>
  <c r="H51"/>
  <c r="H50"/>
  <c r="H52" s="1"/>
  <c r="C46"/>
  <c r="C47"/>
  <c r="H4"/>
  <c r="H5"/>
  <c r="H34"/>
  <c r="H35"/>
  <c r="H36"/>
  <c r="H37"/>
  <c r="H33"/>
  <c r="H31"/>
  <c r="H32"/>
  <c r="C31"/>
  <c r="C32"/>
  <c r="C29"/>
  <c r="C30"/>
  <c r="C33"/>
  <c r="H22" i="69"/>
  <c r="H20"/>
  <c r="H21"/>
  <c r="H23" s="1"/>
  <c r="C32"/>
  <c r="C29"/>
  <c r="C30"/>
  <c r="C34" s="1"/>
  <c r="C31"/>
  <c r="C33"/>
  <c r="C9"/>
  <c r="C8"/>
  <c r="C10" s="1"/>
  <c r="C53"/>
  <c r="C54"/>
  <c r="C51"/>
  <c r="C56"/>
  <c r="C52"/>
  <c r="C55"/>
  <c r="H34"/>
  <c r="H31"/>
  <c r="H36"/>
  <c r="H37"/>
  <c r="H33"/>
  <c r="H35"/>
  <c r="H32"/>
  <c r="C39"/>
  <c r="C40"/>
  <c r="C41"/>
  <c r="C42"/>
  <c r="C38"/>
  <c r="C37"/>
  <c r="H50"/>
  <c r="H52" s="1"/>
  <c r="H51"/>
  <c r="C15"/>
  <c r="C16"/>
  <c r="H4"/>
  <c r="H6" s="1"/>
  <c r="H5"/>
  <c r="H45"/>
  <c r="H41"/>
  <c r="H42"/>
  <c r="H44"/>
  <c r="H46"/>
  <c r="H43"/>
  <c r="C46"/>
  <c r="C48" s="1"/>
  <c r="C47"/>
  <c r="C8" i="65"/>
  <c r="C10" s="1"/>
  <c r="C9"/>
  <c r="C32"/>
  <c r="C30"/>
  <c r="C33"/>
  <c r="C29"/>
  <c r="C31"/>
  <c r="H50"/>
  <c r="H51"/>
  <c r="H4"/>
  <c r="H5"/>
  <c r="H43"/>
  <c r="H45"/>
  <c r="H42"/>
  <c r="H44"/>
  <c r="H41"/>
  <c r="H46"/>
  <c r="C25"/>
  <c r="C21"/>
  <c r="C24"/>
  <c r="C22"/>
  <c r="C23"/>
  <c r="C20"/>
  <c r="H20"/>
  <c r="H21"/>
  <c r="H22"/>
  <c r="C46"/>
  <c r="C48" s="1"/>
  <c r="C47"/>
  <c r="H36"/>
  <c r="H32"/>
  <c r="H34"/>
  <c r="H31"/>
  <c r="H37"/>
  <c r="H33"/>
  <c r="H35"/>
  <c r="C16"/>
  <c r="C15"/>
  <c r="C17" s="1"/>
  <c r="C53"/>
  <c r="C55"/>
  <c r="C56"/>
  <c r="C54"/>
  <c r="C51"/>
  <c r="C57" s="1"/>
  <c r="C52"/>
  <c r="C41"/>
  <c r="C42"/>
  <c r="C39"/>
  <c r="C38"/>
  <c r="C40"/>
  <c r="C37"/>
  <c r="C43" s="1"/>
  <c r="H22" i="64"/>
  <c r="H21"/>
  <c r="H20"/>
  <c r="C16"/>
  <c r="C15"/>
  <c r="C17" s="1"/>
  <c r="H51"/>
  <c r="H50"/>
  <c r="H52" s="1"/>
  <c r="H34"/>
  <c r="H32"/>
  <c r="H37"/>
  <c r="H35"/>
  <c r="H31"/>
  <c r="H36"/>
  <c r="H33"/>
  <c r="C23"/>
  <c r="C20"/>
  <c r="C25"/>
  <c r="C22"/>
  <c r="C24"/>
  <c r="C21"/>
  <c r="C55"/>
  <c r="C51"/>
  <c r="C56"/>
  <c r="C54"/>
  <c r="C52"/>
  <c r="C53"/>
  <c r="C46"/>
  <c r="C48" s="1"/>
  <c r="C47"/>
  <c r="C9"/>
  <c r="C8"/>
  <c r="C10" s="1"/>
  <c r="C41"/>
  <c r="C37"/>
  <c r="C42"/>
  <c r="C40"/>
  <c r="C38"/>
  <c r="C39"/>
  <c r="H4"/>
  <c r="H5"/>
  <c r="H45"/>
  <c r="H41"/>
  <c r="H43"/>
  <c r="H46"/>
  <c r="H42"/>
  <c r="H44"/>
  <c r="C30"/>
  <c r="C31"/>
  <c r="C32"/>
  <c r="C33"/>
  <c r="C29"/>
  <c r="H22" i="63"/>
  <c r="H20"/>
  <c r="H23" s="1"/>
  <c r="H21"/>
  <c r="C53"/>
  <c r="C54"/>
  <c r="C55"/>
  <c r="C51"/>
  <c r="C56"/>
  <c r="C52"/>
  <c r="H4"/>
  <c r="H6" s="1"/>
  <c r="H5"/>
  <c r="H45"/>
  <c r="H41"/>
  <c r="H42"/>
  <c r="H44"/>
  <c r="H46"/>
  <c r="H43"/>
  <c r="C25"/>
  <c r="C21"/>
  <c r="C22"/>
  <c r="C23"/>
  <c r="C24"/>
  <c r="C20"/>
  <c r="C26" s="1"/>
  <c r="H34"/>
  <c r="H31"/>
  <c r="H36"/>
  <c r="H37"/>
  <c r="H33"/>
  <c r="H35"/>
  <c r="H32"/>
  <c r="C15"/>
  <c r="C17" s="1"/>
  <c r="C16"/>
  <c r="C8"/>
  <c r="C9"/>
  <c r="C46"/>
  <c r="C48" s="1"/>
  <c r="C47"/>
  <c r="H50"/>
  <c r="H51"/>
  <c r="H50" i="62"/>
  <c r="H52" s="1"/>
  <c r="H51"/>
  <c r="H4"/>
  <c r="H6" s="1"/>
  <c r="H5"/>
  <c r="H45"/>
  <c r="H41"/>
  <c r="H43"/>
  <c r="H44"/>
  <c r="H46"/>
  <c r="H42"/>
  <c r="C32"/>
  <c r="C29"/>
  <c r="C31"/>
  <c r="C33"/>
  <c r="C30"/>
  <c r="C34" s="1"/>
  <c r="H34"/>
  <c r="H32"/>
  <c r="H33"/>
  <c r="H35"/>
  <c r="H31"/>
  <c r="H36"/>
  <c r="H37"/>
  <c r="C25"/>
  <c r="C21"/>
  <c r="C23"/>
  <c r="C24"/>
  <c r="C20"/>
  <c r="C26" s="1"/>
  <c r="C22"/>
  <c r="C53"/>
  <c r="C54"/>
  <c r="C55"/>
  <c r="C56"/>
  <c r="C52"/>
  <c r="C51"/>
  <c r="C9"/>
  <c r="C8"/>
  <c r="C39"/>
  <c r="C40"/>
  <c r="C37"/>
  <c r="C42"/>
  <c r="C38"/>
  <c r="C41"/>
  <c r="H22"/>
  <c r="H20"/>
  <c r="H21"/>
  <c r="C15"/>
  <c r="C16"/>
  <c r="C46"/>
  <c r="C47"/>
  <c r="C9" i="61"/>
  <c r="C8"/>
  <c r="C10" s="1"/>
  <c r="H20"/>
  <c r="H22"/>
  <c r="H21"/>
  <c r="H23" s="1"/>
  <c r="C55"/>
  <c r="C51"/>
  <c r="C53"/>
  <c r="C54"/>
  <c r="C56"/>
  <c r="C52"/>
  <c r="H36"/>
  <c r="H32"/>
  <c r="H35"/>
  <c r="H37"/>
  <c r="H33"/>
  <c r="H34"/>
  <c r="H31"/>
  <c r="C46"/>
  <c r="C48" s="1"/>
  <c r="C47"/>
  <c r="H50"/>
  <c r="H52" s="1"/>
  <c r="H51"/>
  <c r="C30"/>
  <c r="C32"/>
  <c r="C29"/>
  <c r="C31"/>
  <c r="C33"/>
  <c r="C15"/>
  <c r="C16"/>
  <c r="H42"/>
  <c r="H43"/>
  <c r="H41"/>
  <c r="H44"/>
  <c r="H45"/>
  <c r="H46"/>
  <c r="H4"/>
  <c r="H5"/>
  <c r="C41"/>
  <c r="C37"/>
  <c r="C40"/>
  <c r="C42"/>
  <c r="C38"/>
  <c r="C39"/>
  <c r="C47" i="60"/>
  <c r="C46"/>
  <c r="C48" s="1"/>
  <c r="H50"/>
  <c r="H52" s="1"/>
  <c r="H51"/>
  <c r="H34"/>
  <c r="H32"/>
  <c r="H33"/>
  <c r="H35"/>
  <c r="H31"/>
  <c r="H36"/>
  <c r="H37"/>
  <c r="C23"/>
  <c r="C20"/>
  <c r="C21"/>
  <c r="C25"/>
  <c r="C22"/>
  <c r="C24"/>
  <c r="H22"/>
  <c r="H20"/>
  <c r="H21"/>
  <c r="C55"/>
  <c r="C51"/>
  <c r="C52"/>
  <c r="C53"/>
  <c r="C54"/>
  <c r="C56"/>
  <c r="C9"/>
  <c r="C8"/>
  <c r="H4"/>
  <c r="H5"/>
  <c r="H45"/>
  <c r="H41"/>
  <c r="H43"/>
  <c r="H44"/>
  <c r="H46"/>
  <c r="H42"/>
  <c r="C30"/>
  <c r="C31"/>
  <c r="C33"/>
  <c r="C29"/>
  <c r="C32"/>
  <c r="C16"/>
  <c r="C15"/>
  <c r="C17" s="1"/>
  <c r="C9" i="59"/>
  <c r="C8"/>
  <c r="C10" s="1"/>
  <c r="H4"/>
  <c r="H6" s="1"/>
  <c r="H5"/>
  <c r="C23"/>
  <c r="C25"/>
  <c r="C24"/>
  <c r="C20"/>
  <c r="C21"/>
  <c r="C22"/>
  <c r="H36"/>
  <c r="H32"/>
  <c r="H35"/>
  <c r="H37"/>
  <c r="H33"/>
  <c r="H34"/>
  <c r="H31"/>
  <c r="C16"/>
  <c r="C15"/>
  <c r="C17" s="1"/>
  <c r="C46"/>
  <c r="C47"/>
  <c r="C30"/>
  <c r="C29"/>
  <c r="C34" s="1"/>
  <c r="C31"/>
  <c r="C32"/>
  <c r="C33"/>
  <c r="H43"/>
  <c r="H41"/>
  <c r="H46"/>
  <c r="H44"/>
  <c r="H45"/>
  <c r="H42"/>
  <c r="H20"/>
  <c r="H22"/>
  <c r="H21"/>
  <c r="H23" s="1"/>
  <c r="C40"/>
  <c r="C41"/>
  <c r="C37"/>
  <c r="C39"/>
  <c r="C42"/>
  <c r="C38"/>
  <c r="C55"/>
  <c r="C51"/>
  <c r="C54"/>
  <c r="C56"/>
  <c r="C52"/>
  <c r="C53"/>
  <c r="H50"/>
  <c r="H51"/>
  <c r="C46" i="58"/>
  <c r="C48" s="1"/>
  <c r="C47"/>
  <c r="C42"/>
  <c r="C38"/>
  <c r="C39"/>
  <c r="C37"/>
  <c r="C40"/>
  <c r="C41"/>
  <c r="H50"/>
  <c r="H52" s="1"/>
  <c r="H51"/>
  <c r="H4"/>
  <c r="H6" s="1"/>
  <c r="H5"/>
  <c r="H43"/>
  <c r="H41"/>
  <c r="H42"/>
  <c r="H44"/>
  <c r="H45"/>
  <c r="H46"/>
  <c r="C31"/>
  <c r="C32"/>
  <c r="C33"/>
  <c r="C29"/>
  <c r="C30"/>
  <c r="C34" s="1"/>
  <c r="H20"/>
  <c r="H22"/>
  <c r="H21"/>
  <c r="H23" s="1"/>
  <c r="C16"/>
  <c r="C15"/>
  <c r="C8"/>
  <c r="C10" s="1"/>
  <c r="C9"/>
  <c r="H36"/>
  <c r="H32"/>
  <c r="H31"/>
  <c r="H37"/>
  <c r="H33"/>
  <c r="H34"/>
  <c r="H35"/>
  <c r="C24"/>
  <c r="C20"/>
  <c r="C25"/>
  <c r="C21"/>
  <c r="C23"/>
  <c r="C22"/>
  <c r="C56"/>
  <c r="C52"/>
  <c r="C53"/>
  <c r="C51"/>
  <c r="C57" s="1"/>
  <c r="C54"/>
  <c r="C55"/>
  <c r="C46" i="57"/>
  <c r="C47"/>
  <c r="H4"/>
  <c r="H6" s="1"/>
  <c r="H5"/>
  <c r="H22"/>
  <c r="H21"/>
  <c r="H20"/>
  <c r="H23" s="1"/>
  <c r="C25"/>
  <c r="C21"/>
  <c r="C23"/>
  <c r="C22"/>
  <c r="C24"/>
  <c r="C20"/>
  <c r="C53"/>
  <c r="C54"/>
  <c r="C55"/>
  <c r="C56"/>
  <c r="C52"/>
  <c r="C51"/>
  <c r="C57" s="1"/>
  <c r="H50"/>
  <c r="H51"/>
  <c r="C8"/>
  <c r="C10" s="1"/>
  <c r="C9"/>
  <c r="C15"/>
  <c r="C16"/>
  <c r="H45"/>
  <c r="H41"/>
  <c r="H46"/>
  <c r="H44"/>
  <c r="H42"/>
  <c r="H43"/>
  <c r="C39"/>
  <c r="C40"/>
  <c r="C41"/>
  <c r="C37"/>
  <c r="C43" s="1"/>
  <c r="C42"/>
  <c r="C38"/>
  <c r="H34"/>
  <c r="H35"/>
  <c r="H32"/>
  <c r="H37"/>
  <c r="H33"/>
  <c r="H31"/>
  <c r="H38" s="1"/>
  <c r="H36"/>
  <c r="C32"/>
  <c r="C29"/>
  <c r="C31"/>
  <c r="C33"/>
  <c r="C30"/>
  <c r="C8" i="56"/>
  <c r="C9"/>
  <c r="C15"/>
  <c r="C17" s="1"/>
  <c r="C16"/>
  <c r="C47"/>
  <c r="C46"/>
  <c r="C48" s="1"/>
  <c r="H51"/>
  <c r="H50"/>
  <c r="H34"/>
  <c r="H31"/>
  <c r="H36"/>
  <c r="H37"/>
  <c r="H33"/>
  <c r="H35"/>
  <c r="H32"/>
  <c r="H38" s="1"/>
  <c r="C33"/>
  <c r="C29"/>
  <c r="C30"/>
  <c r="C31"/>
  <c r="C32"/>
  <c r="H22"/>
  <c r="H20"/>
  <c r="H21"/>
  <c r="H23" s="1"/>
  <c r="C22"/>
  <c r="C24"/>
  <c r="C25"/>
  <c r="C21"/>
  <c r="C23"/>
  <c r="C20"/>
  <c r="H4"/>
  <c r="H5"/>
  <c r="H45"/>
  <c r="H41"/>
  <c r="H46"/>
  <c r="H43"/>
  <c r="H44"/>
  <c r="H42"/>
  <c r="C40"/>
  <c r="C41"/>
  <c r="C42"/>
  <c r="C39"/>
  <c r="C37"/>
  <c r="C43" s="1"/>
  <c r="C38"/>
  <c r="C41" i="55"/>
  <c r="C37"/>
  <c r="C42"/>
  <c r="C39"/>
  <c r="C40"/>
  <c r="C38"/>
  <c r="C30"/>
  <c r="C31"/>
  <c r="C33"/>
  <c r="C29"/>
  <c r="C32"/>
  <c r="H45"/>
  <c r="H41"/>
  <c r="H42"/>
  <c r="H43"/>
  <c r="H44"/>
  <c r="H46"/>
  <c r="C16"/>
  <c r="C15"/>
  <c r="C17" s="1"/>
  <c r="C47"/>
  <c r="C46"/>
  <c r="C48" s="1"/>
  <c r="H22"/>
  <c r="H21"/>
  <c r="H20"/>
  <c r="H34"/>
  <c r="H32"/>
  <c r="H31"/>
  <c r="H37"/>
  <c r="H33"/>
  <c r="H35"/>
  <c r="H36"/>
  <c r="C9"/>
  <c r="C8"/>
  <c r="C10" s="1"/>
  <c r="H4"/>
  <c r="H6" s="1"/>
  <c r="H5"/>
  <c r="C23"/>
  <c r="C20"/>
  <c r="C25"/>
  <c r="C22"/>
  <c r="C24"/>
  <c r="C21"/>
  <c r="C55"/>
  <c r="C51"/>
  <c r="C56"/>
  <c r="C53"/>
  <c r="C54"/>
  <c r="C52"/>
  <c r="H51"/>
  <c r="H50"/>
  <c r="H52" s="1"/>
  <c r="C8" i="54"/>
  <c r="C10" s="1"/>
  <c r="C9"/>
  <c r="H4"/>
  <c r="H6" s="1"/>
  <c r="H5"/>
  <c r="H34"/>
  <c r="H35"/>
  <c r="H31"/>
  <c r="H33"/>
  <c r="H36"/>
  <c r="H32"/>
  <c r="H37"/>
  <c r="C47"/>
  <c r="C46"/>
  <c r="C48" s="1"/>
  <c r="C42"/>
  <c r="C38"/>
  <c r="C41"/>
  <c r="C39"/>
  <c r="C40"/>
  <c r="C37"/>
  <c r="C43" s="1"/>
  <c r="C23"/>
  <c r="C24"/>
  <c r="C20"/>
  <c r="C22"/>
  <c r="C25"/>
  <c r="C21"/>
  <c r="H45"/>
  <c r="H41"/>
  <c r="H46"/>
  <c r="H42"/>
  <c r="H43"/>
  <c r="H44"/>
  <c r="C15"/>
  <c r="C16"/>
  <c r="H51"/>
  <c r="H50"/>
  <c r="H52" s="1"/>
  <c r="H22"/>
  <c r="H20"/>
  <c r="H21"/>
  <c r="H23" s="1"/>
  <c r="C31"/>
  <c r="C33"/>
  <c r="C30"/>
  <c r="C32"/>
  <c r="C29"/>
  <c r="C56"/>
  <c r="C52"/>
  <c r="C51"/>
  <c r="C53"/>
  <c r="C54"/>
  <c r="C55"/>
  <c r="C16" i="5"/>
  <c r="C15"/>
  <c r="C55"/>
  <c r="C51"/>
  <c r="C54"/>
  <c r="C56"/>
  <c r="C52"/>
  <c r="C53"/>
  <c r="H50"/>
  <c r="H52" s="1"/>
  <c r="H51"/>
  <c r="H20"/>
  <c r="H21"/>
  <c r="H22"/>
  <c r="H36"/>
  <c r="H32"/>
  <c r="H34"/>
  <c r="H35"/>
  <c r="H37"/>
  <c r="H33"/>
  <c r="H31"/>
  <c r="C41"/>
  <c r="C37"/>
  <c r="C42"/>
  <c r="C38"/>
  <c r="C39"/>
  <c r="C40"/>
  <c r="H4"/>
  <c r="H6" s="1"/>
  <c r="H5"/>
  <c r="C23"/>
  <c r="C21"/>
  <c r="C22"/>
  <c r="C24"/>
  <c r="C20"/>
  <c r="C26" s="1"/>
  <c r="C25"/>
  <c r="C9"/>
  <c r="C8"/>
  <c r="H43"/>
  <c r="H45"/>
  <c r="H46"/>
  <c r="H44"/>
  <c r="H41"/>
  <c r="H47" s="1"/>
  <c r="H42"/>
  <c r="C46"/>
  <c r="C48" s="1"/>
  <c r="C47"/>
  <c r="C30"/>
  <c r="C32"/>
  <c r="C33"/>
  <c r="C31"/>
  <c r="C29"/>
  <c r="H41" i="4"/>
  <c r="H45"/>
  <c r="H42"/>
  <c r="H46"/>
  <c r="H44"/>
  <c r="H43"/>
  <c r="C53"/>
  <c r="C54"/>
  <c r="C55"/>
  <c r="C56"/>
  <c r="C52"/>
  <c r="C51"/>
  <c r="H51"/>
  <c r="H50"/>
  <c r="H20"/>
  <c r="H23" s="1"/>
  <c r="H22"/>
  <c r="H21"/>
  <c r="H14"/>
  <c r="H15"/>
  <c r="H13"/>
  <c r="H17"/>
  <c r="H31"/>
  <c r="H35"/>
  <c r="H37"/>
  <c r="H32"/>
  <c r="H36"/>
  <c r="H34"/>
  <c r="H33"/>
  <c r="C25"/>
  <c r="C21"/>
  <c r="C22"/>
  <c r="C24"/>
  <c r="C20"/>
  <c r="C23"/>
  <c r="C16"/>
  <c r="C15"/>
  <c r="H5"/>
  <c r="H4"/>
  <c r="C8"/>
  <c r="C10" s="1"/>
  <c r="C9"/>
  <c r="C46"/>
  <c r="C47"/>
  <c r="C32"/>
  <c r="C33"/>
  <c r="C30"/>
  <c r="C31"/>
  <c r="C29"/>
  <c r="C34" s="1"/>
  <c r="C39"/>
  <c r="C41"/>
  <c r="C42"/>
  <c r="C38"/>
  <c r="C40"/>
  <c r="C37"/>
  <c r="H37" i="3"/>
  <c r="H33"/>
  <c r="H35"/>
  <c r="H36"/>
  <c r="H34"/>
  <c r="H31"/>
  <c r="H32"/>
  <c r="H38" s="1"/>
  <c r="C15"/>
  <c r="C16"/>
  <c r="C32"/>
  <c r="C29"/>
  <c r="C30"/>
  <c r="C31"/>
  <c r="C33"/>
  <c r="C9"/>
  <c r="C8"/>
  <c r="C46"/>
  <c r="C48" s="1"/>
  <c r="C47"/>
  <c r="H21"/>
  <c r="H20"/>
  <c r="H22"/>
  <c r="C39"/>
  <c r="C40"/>
  <c r="C41"/>
  <c r="C42"/>
  <c r="C38"/>
  <c r="C37"/>
  <c r="H5"/>
  <c r="H4"/>
  <c r="H6" s="1"/>
  <c r="H44"/>
  <c r="H46"/>
  <c r="H45"/>
  <c r="H41"/>
  <c r="H47" s="1"/>
  <c r="H42"/>
  <c r="H43"/>
  <c r="H51"/>
  <c r="H50"/>
  <c r="H52" s="1"/>
  <c r="C25"/>
  <c r="C21"/>
  <c r="C23"/>
  <c r="C24"/>
  <c r="C20"/>
  <c r="C22"/>
  <c r="D9" i="97"/>
  <c r="D9" i="98"/>
  <c r="D9" i="94"/>
  <c r="D9" i="90"/>
  <c r="D9" i="86"/>
  <c r="D9" i="99"/>
  <c r="D9" i="92"/>
  <c r="D9" i="87"/>
  <c r="D9" i="84"/>
  <c r="D9" i="80"/>
  <c r="D9" i="76"/>
  <c r="D9" i="72"/>
  <c r="D9" i="68"/>
  <c r="D9" i="100"/>
  <c r="D9" i="93"/>
  <c r="D9" i="88"/>
  <c r="D9" i="81"/>
  <c r="D9" i="77"/>
  <c r="D9" i="73"/>
  <c r="D9" i="69"/>
  <c r="D9" i="95"/>
  <c r="D9" i="89"/>
  <c r="D9" i="82"/>
  <c r="D9" i="78"/>
  <c r="D9" i="74"/>
  <c r="D9" i="70"/>
  <c r="D9" i="66"/>
  <c r="D9" i="62"/>
  <c r="D9" i="58"/>
  <c r="D9" i="54"/>
  <c r="D9" i="96"/>
  <c r="D9" i="91"/>
  <c r="D9" i="85"/>
  <c r="D9" i="83"/>
  <c r="D9" i="79"/>
  <c r="D9" i="75"/>
  <c r="D9" i="71"/>
  <c r="D9" i="67"/>
  <c r="D9" i="63"/>
  <c r="D9" i="59"/>
  <c r="D9" i="55"/>
  <c r="D9" i="4"/>
  <c r="D9" i="2"/>
  <c r="D9" i="65"/>
  <c r="D9" i="64"/>
  <c r="D9" i="56"/>
  <c r="D9" i="57"/>
  <c r="D9" i="60"/>
  <c r="D9" i="61"/>
  <c r="D9" i="5"/>
  <c r="D9" i="3"/>
  <c r="D16" i="97"/>
  <c r="D16" i="98"/>
  <c r="D16" i="94"/>
  <c r="D16" i="90"/>
  <c r="D16" i="86"/>
  <c r="D16" i="95"/>
  <c r="D16" i="93"/>
  <c r="D16" i="88"/>
  <c r="D16" i="84"/>
  <c r="D16" i="80"/>
  <c r="D16" i="76"/>
  <c r="D16" i="72"/>
  <c r="D16" i="68"/>
  <c r="D16" i="96"/>
  <c r="D16" i="89"/>
  <c r="D16" i="81"/>
  <c r="D16" i="77"/>
  <c r="D16" i="73"/>
  <c r="D16" i="69"/>
  <c r="D16" i="99"/>
  <c r="D16" i="91"/>
  <c r="D16" i="85"/>
  <c r="D16" i="82"/>
  <c r="D16" i="78"/>
  <c r="D16" i="74"/>
  <c r="D16" i="70"/>
  <c r="D16" i="66"/>
  <c r="D16" i="62"/>
  <c r="D16" i="58"/>
  <c r="D16" i="54"/>
  <c r="D16" i="100"/>
  <c r="D16" i="92"/>
  <c r="D16" i="87"/>
  <c r="D16" i="83"/>
  <c r="D16" i="79"/>
  <c r="D16" i="75"/>
  <c r="D16" i="71"/>
  <c r="D16" i="67"/>
  <c r="D16" i="63"/>
  <c r="D16" i="59"/>
  <c r="D16" i="55"/>
  <c r="D16" i="4"/>
  <c r="D16" i="2"/>
  <c r="D16" i="60"/>
  <c r="D16" i="3"/>
  <c r="D16" i="65"/>
  <c r="D16" i="61"/>
  <c r="D16" i="64"/>
  <c r="D16" i="56"/>
  <c r="D16" i="57"/>
  <c r="D16" i="5"/>
  <c r="I17" i="99"/>
  <c r="I17" i="97"/>
  <c r="I17" i="95"/>
  <c r="I17" i="93"/>
  <c r="I17" i="91"/>
  <c r="I17" i="89"/>
  <c r="I17" i="87"/>
  <c r="I17" i="4"/>
  <c r="I17" i="3"/>
  <c r="I17" i="2"/>
  <c r="I17" i="100"/>
  <c r="I17" i="98"/>
  <c r="I17" i="96"/>
  <c r="I17" i="94"/>
  <c r="I17" i="92"/>
  <c r="I17" i="90"/>
  <c r="I17" i="88"/>
  <c r="I17" i="86"/>
  <c r="I17" i="84"/>
  <c r="I17" i="82"/>
  <c r="I17" i="80"/>
  <c r="I17" i="76"/>
  <c r="I17" i="72"/>
  <c r="I17" i="68"/>
  <c r="I17" i="65"/>
  <c r="I17" i="62"/>
  <c r="I17" i="57"/>
  <c r="I17" i="81"/>
  <c r="I17" i="77"/>
  <c r="I17" i="73"/>
  <c r="I17" i="69"/>
  <c r="I17" i="63"/>
  <c r="I17" i="60"/>
  <c r="I17" i="83"/>
  <c r="I17" i="78"/>
  <c r="I17" i="74"/>
  <c r="I17" i="70"/>
  <c r="I17" i="66"/>
  <c r="I17" i="61"/>
  <c r="I17" i="58"/>
  <c r="I17" i="85"/>
  <c r="I17" i="79"/>
  <c r="I17" i="75"/>
  <c r="I17" i="71"/>
  <c r="I17" i="67"/>
  <c r="I17" i="64"/>
  <c r="I17" i="59"/>
  <c r="I17" i="56"/>
  <c r="I17" i="5"/>
  <c r="I17" i="55"/>
  <c r="I17" i="54"/>
  <c r="D46" i="99"/>
  <c r="D46" i="95"/>
  <c r="D46" i="100"/>
  <c r="D46" i="96"/>
  <c r="D46" i="92"/>
  <c r="D46" i="88"/>
  <c r="D46" i="91"/>
  <c r="D46" i="86"/>
  <c r="D46" i="82"/>
  <c r="D46" i="78"/>
  <c r="D46" i="74"/>
  <c r="D46" i="70"/>
  <c r="D46" i="66"/>
  <c r="D46" i="94"/>
  <c r="D46" i="93"/>
  <c r="D46" i="87"/>
  <c r="D46" i="83"/>
  <c r="D46" i="79"/>
  <c r="D46" i="75"/>
  <c r="D46" i="71"/>
  <c r="D46" i="67"/>
  <c r="D46" i="97"/>
  <c r="D46" i="89"/>
  <c r="D46" i="84"/>
  <c r="D46" i="80"/>
  <c r="D46" i="76"/>
  <c r="D46" i="72"/>
  <c r="D46" i="68"/>
  <c r="D46" i="64"/>
  <c r="D46" i="60"/>
  <c r="D46" i="56"/>
  <c r="D46" i="3"/>
  <c r="D46" i="98"/>
  <c r="D46" i="90"/>
  <c r="D46" i="85"/>
  <c r="D46" i="81"/>
  <c r="D46" i="77"/>
  <c r="D46" i="73"/>
  <c r="D46" i="69"/>
  <c r="D46" i="65"/>
  <c r="D46" i="61"/>
  <c r="D46" i="57"/>
  <c r="D46" i="5"/>
  <c r="D46" i="4"/>
  <c r="D46" i="58"/>
  <c r="D46" i="59"/>
  <c r="D46" i="62"/>
  <c r="D46" i="54"/>
  <c r="D46" i="2"/>
  <c r="D46" i="63"/>
  <c r="D46" i="55"/>
  <c r="I13" i="100"/>
  <c r="I13" i="98"/>
  <c r="I13" i="96"/>
  <c r="I13" i="94"/>
  <c r="I13" i="92"/>
  <c r="I13" i="90"/>
  <c r="I13" i="88"/>
  <c r="I13" i="99"/>
  <c r="I13" i="97"/>
  <c r="I13" i="95"/>
  <c r="I13" i="93"/>
  <c r="I13" i="91"/>
  <c r="I13" i="89"/>
  <c r="I13" i="87"/>
  <c r="I13" i="85"/>
  <c r="I13" i="83"/>
  <c r="I13" i="81"/>
  <c r="I13" i="78"/>
  <c r="I13" i="74"/>
  <c r="I13" i="70"/>
  <c r="I13" i="66"/>
  <c r="I13" i="61"/>
  <c r="I13" i="58"/>
  <c r="I13" i="82"/>
  <c r="I13" i="79"/>
  <c r="I13" i="75"/>
  <c r="I13" i="71"/>
  <c r="I13" i="67"/>
  <c r="I13" i="64"/>
  <c r="I13" i="59"/>
  <c r="I13" i="56"/>
  <c r="I13" i="84"/>
  <c r="I13" i="80"/>
  <c r="I13" i="76"/>
  <c r="I13" i="72"/>
  <c r="I13" i="68"/>
  <c r="I13" i="65"/>
  <c r="I13" i="62"/>
  <c r="I13" i="57"/>
  <c r="I13" i="54"/>
  <c r="I13" i="2"/>
  <c r="I13" i="86"/>
  <c r="I13" i="77"/>
  <c r="I13" i="73"/>
  <c r="I13" i="69"/>
  <c r="I13" i="63"/>
  <c r="I13" i="60"/>
  <c r="I13" i="55"/>
  <c r="I13" i="4"/>
  <c r="I13" i="5"/>
  <c r="I13" i="3"/>
  <c r="I27" i="99"/>
  <c r="I27" i="97"/>
  <c r="I27" i="95"/>
  <c r="I27" i="93"/>
  <c r="I27" i="91"/>
  <c r="I27" i="89"/>
  <c r="I27" i="87"/>
  <c r="I27" i="85"/>
  <c r="I27" i="83"/>
  <c r="I27" i="81"/>
  <c r="I27" i="79"/>
  <c r="I27" i="77"/>
  <c r="I27" i="75"/>
  <c r="I27" i="73"/>
  <c r="I27" i="71"/>
  <c r="I27" i="69"/>
  <c r="I27" i="67"/>
  <c r="I27" i="100"/>
  <c r="I27" i="98"/>
  <c r="I27" i="96"/>
  <c r="I27" i="94"/>
  <c r="I27" i="92"/>
  <c r="I27" i="90"/>
  <c r="I27" i="88"/>
  <c r="I27" i="86"/>
  <c r="I27" i="84"/>
  <c r="I27" i="82"/>
  <c r="I27" i="80"/>
  <c r="I27" i="78"/>
  <c r="I27" i="76"/>
  <c r="I27" i="74"/>
  <c r="I27" i="72"/>
  <c r="I27" i="70"/>
  <c r="I27" i="68"/>
  <c r="I27" i="66"/>
  <c r="I27" i="64"/>
  <c r="I27" i="62"/>
  <c r="I27" i="60"/>
  <c r="I27" i="58"/>
  <c r="I27" i="56"/>
  <c r="I27" i="54"/>
  <c r="I27" i="2"/>
  <c r="I27" i="63"/>
  <c r="I27" i="55"/>
  <c r="I27" i="61"/>
  <c r="I27" i="59"/>
  <c r="I27" i="5"/>
  <c r="I27" i="4"/>
  <c r="I27" i="3"/>
  <c r="I27" i="65"/>
  <c r="I27" i="57"/>
  <c r="I33" i="100"/>
  <c r="I33" i="98"/>
  <c r="I33" i="96"/>
  <c r="I33" i="94"/>
  <c r="I33" i="92"/>
  <c r="I33" i="90"/>
  <c r="I33" i="88"/>
  <c r="I33" i="86"/>
  <c r="I33" i="4"/>
  <c r="I33" i="2"/>
  <c r="I33" i="99"/>
  <c r="I33" i="97"/>
  <c r="I33" i="95"/>
  <c r="I33" i="93"/>
  <c r="I33" i="91"/>
  <c r="I33" i="89"/>
  <c r="I33" i="87"/>
  <c r="I33" i="85"/>
  <c r="I33" i="83"/>
  <c r="I33" i="81"/>
  <c r="I33" i="84"/>
  <c r="I33" i="79"/>
  <c r="I33" i="75"/>
  <c r="I33" i="71"/>
  <c r="I33" i="67"/>
  <c r="I33" i="64"/>
  <c r="I33" i="61"/>
  <c r="I33" i="56"/>
  <c r="I33" i="80"/>
  <c r="I33" i="76"/>
  <c r="I33" i="72"/>
  <c r="I33" i="68"/>
  <c r="I33" i="62"/>
  <c r="I33" i="59"/>
  <c r="I33" i="77"/>
  <c r="I33" i="73"/>
  <c r="I33" i="69"/>
  <c r="I33" i="65"/>
  <c r="I33" i="60"/>
  <c r="I33" i="57"/>
  <c r="I33" i="82"/>
  <c r="I33" i="78"/>
  <c r="I33" i="74"/>
  <c r="I33" i="70"/>
  <c r="I33" i="66"/>
  <c r="I33" i="63"/>
  <c r="I33" i="58"/>
  <c r="I33" i="55"/>
  <c r="I33" i="3"/>
  <c r="I33" i="5"/>
  <c r="I33" i="54"/>
  <c r="I37" i="100"/>
  <c r="I37" i="98"/>
  <c r="I37" i="96"/>
  <c r="I37" i="94"/>
  <c r="I37" i="92"/>
  <c r="I37" i="90"/>
  <c r="I37" i="88"/>
  <c r="I37" i="86"/>
  <c r="I37" i="4"/>
  <c r="I37" i="2"/>
  <c r="I37" i="99"/>
  <c r="I37" i="97"/>
  <c r="I37" i="95"/>
  <c r="I37" i="93"/>
  <c r="I37" i="91"/>
  <c r="I37" i="89"/>
  <c r="I37" i="87"/>
  <c r="I37" i="85"/>
  <c r="I37" i="83"/>
  <c r="I37" i="81"/>
  <c r="I37" i="80"/>
  <c r="I37" i="79"/>
  <c r="I37" i="75"/>
  <c r="I37" i="71"/>
  <c r="I37" i="67"/>
  <c r="I37" i="64"/>
  <c r="I37" i="61"/>
  <c r="I37" i="56"/>
  <c r="I37" i="82"/>
  <c r="I37" i="76"/>
  <c r="I37" i="72"/>
  <c r="I37" i="68"/>
  <c r="I37" i="62"/>
  <c r="I37" i="59"/>
  <c r="I37" i="84"/>
  <c r="I37" i="77"/>
  <c r="I37" i="73"/>
  <c r="I37" i="69"/>
  <c r="I37" i="65"/>
  <c r="I37" i="60"/>
  <c r="I37" i="57"/>
  <c r="I37" i="78"/>
  <c r="I37" i="74"/>
  <c r="I37" i="70"/>
  <c r="I37" i="66"/>
  <c r="I37" i="63"/>
  <c r="I37" i="58"/>
  <c r="I37" i="55"/>
  <c r="I37" i="54"/>
  <c r="I37" i="5"/>
  <c r="I37" i="3"/>
  <c r="I44" i="100"/>
  <c r="I44" i="98"/>
  <c r="I44" i="96"/>
  <c r="I44" i="94"/>
  <c r="I44" i="92"/>
  <c r="I44" i="90"/>
  <c r="I44" i="88"/>
  <c r="I44" i="86"/>
  <c r="I44" i="2"/>
  <c r="I44" i="99"/>
  <c r="I44" i="97"/>
  <c r="I44" i="95"/>
  <c r="I44" i="93"/>
  <c r="I44" i="91"/>
  <c r="I44" i="89"/>
  <c r="I44" i="87"/>
  <c r="I44" i="85"/>
  <c r="I44" i="83"/>
  <c r="I44" i="81"/>
  <c r="I44" i="84"/>
  <c r="I44" i="79"/>
  <c r="I44" i="75"/>
  <c r="I44" i="71"/>
  <c r="I44" i="67"/>
  <c r="I44" i="64"/>
  <c r="I44" i="61"/>
  <c r="I44" i="56"/>
  <c r="I44" i="76"/>
  <c r="I44" i="72"/>
  <c r="I44" i="68"/>
  <c r="I44" i="62"/>
  <c r="I44" i="59"/>
  <c r="I44" i="80"/>
  <c r="I44" i="77"/>
  <c r="I44" i="73"/>
  <c r="I44" i="69"/>
  <c r="I44" i="65"/>
  <c r="I44" i="60"/>
  <c r="I44" i="57"/>
  <c r="I44" i="4"/>
  <c r="I44" i="82"/>
  <c r="I44" i="78"/>
  <c r="I44" i="74"/>
  <c r="I44" i="70"/>
  <c r="I44" i="66"/>
  <c r="I44" i="63"/>
  <c r="I44" i="58"/>
  <c r="I44" i="55"/>
  <c r="I44" i="3"/>
  <c r="I44" i="5"/>
  <c r="I44" i="54"/>
  <c r="I51" i="100"/>
  <c r="I51" i="98"/>
  <c r="I51" i="96"/>
  <c r="I51" i="94"/>
  <c r="I51" i="92"/>
  <c r="I51" i="90"/>
  <c r="I51" i="88"/>
  <c r="I51" i="86"/>
  <c r="I51" i="2"/>
  <c r="I51" i="99"/>
  <c r="I51" i="97"/>
  <c r="I51" i="95"/>
  <c r="I51" i="93"/>
  <c r="I51" i="91"/>
  <c r="I51" i="89"/>
  <c r="I51" i="87"/>
  <c r="I51" i="85"/>
  <c r="I51" i="83"/>
  <c r="I51" i="81"/>
  <c r="I51" i="80"/>
  <c r="I51" i="79"/>
  <c r="I51" i="75"/>
  <c r="I51" i="71"/>
  <c r="I51" i="67"/>
  <c r="I51" i="64"/>
  <c r="I51" i="61"/>
  <c r="I51" i="56"/>
  <c r="I51" i="82"/>
  <c r="I51" i="76"/>
  <c r="I51" i="72"/>
  <c r="I51" i="68"/>
  <c r="I51" i="62"/>
  <c r="I51" i="59"/>
  <c r="I51" i="84"/>
  <c r="I51" i="77"/>
  <c r="I51" i="73"/>
  <c r="I51" i="69"/>
  <c r="I51" i="65"/>
  <c r="I51" i="60"/>
  <c r="I51" i="57"/>
  <c r="I51" i="4"/>
  <c r="I51" i="78"/>
  <c r="I51" i="74"/>
  <c r="I51" i="70"/>
  <c r="I51" i="66"/>
  <c r="I51" i="63"/>
  <c r="I51" i="58"/>
  <c r="I51" i="55"/>
  <c r="I51" i="54"/>
  <c r="I51" i="3"/>
  <c r="I51" i="5"/>
  <c r="I21" i="99"/>
  <c r="I21" i="97"/>
  <c r="I21" i="95"/>
  <c r="I21" i="93"/>
  <c r="I21" i="91"/>
  <c r="I21" i="89"/>
  <c r="I21" i="87"/>
  <c r="I21" i="3"/>
  <c r="I21" i="100"/>
  <c r="I21" i="98"/>
  <c r="I21" i="96"/>
  <c r="I21" i="94"/>
  <c r="I21" i="92"/>
  <c r="I21" i="90"/>
  <c r="I21" i="88"/>
  <c r="I21" i="86"/>
  <c r="I21" i="84"/>
  <c r="I21" i="82"/>
  <c r="I21" i="81"/>
  <c r="I21" i="80"/>
  <c r="I21" i="76"/>
  <c r="I21" i="72"/>
  <c r="I21" i="68"/>
  <c r="I21" i="65"/>
  <c r="I21" i="62"/>
  <c r="I21" i="57"/>
  <c r="I21" i="83"/>
  <c r="I21" i="77"/>
  <c r="I21" i="73"/>
  <c r="I21" i="69"/>
  <c r="I21" i="63"/>
  <c r="I21" i="60"/>
  <c r="I21" i="85"/>
  <c r="I21" i="78"/>
  <c r="I21" i="74"/>
  <c r="I21" i="70"/>
  <c r="I21" i="66"/>
  <c r="I21" i="61"/>
  <c r="I21" i="58"/>
  <c r="I21" i="4"/>
  <c r="I21" i="2"/>
  <c r="I21" i="79"/>
  <c r="I21" i="75"/>
  <c r="I21" i="71"/>
  <c r="I21" i="67"/>
  <c r="I21" i="64"/>
  <c r="I21" i="59"/>
  <c r="I21" i="56"/>
  <c r="I21" i="5"/>
  <c r="I21" i="55"/>
  <c r="I21" i="54"/>
  <c r="D52" i="100"/>
  <c r="D52" i="96"/>
  <c r="D52" i="97"/>
  <c r="D52" i="93"/>
  <c r="D52" i="89"/>
  <c r="D52" i="85"/>
  <c r="D52" i="98"/>
  <c r="D52" i="88"/>
  <c r="D52" i="83"/>
  <c r="D52" i="79"/>
  <c r="D52" i="75"/>
  <c r="D52" i="71"/>
  <c r="D52" i="67"/>
  <c r="D52" i="99"/>
  <c r="D52" i="90"/>
  <c r="D52" i="84"/>
  <c r="D52" i="80"/>
  <c r="D52" i="76"/>
  <c r="D52" i="72"/>
  <c r="D52" i="68"/>
  <c r="D52" i="94"/>
  <c r="D52" i="91"/>
  <c r="D52" i="86"/>
  <c r="D52" i="81"/>
  <c r="D52" i="77"/>
  <c r="D52" i="73"/>
  <c r="D52" i="69"/>
  <c r="D52" i="65"/>
  <c r="D52" i="61"/>
  <c r="D52" i="57"/>
  <c r="D52" i="5"/>
  <c r="D52" i="95"/>
  <c r="D52" i="92"/>
  <c r="D52" i="87"/>
  <c r="D52" i="82"/>
  <c r="D52" i="78"/>
  <c r="D52" i="74"/>
  <c r="D52" i="70"/>
  <c r="D52" i="66"/>
  <c r="D52" i="62"/>
  <c r="D52" i="58"/>
  <c r="D52" i="54"/>
  <c r="D52" i="63"/>
  <c r="D52" i="55"/>
  <c r="D52" i="3"/>
  <c r="D52" i="56"/>
  <c r="D52" i="64"/>
  <c r="D52" i="59"/>
  <c r="D52" i="60"/>
  <c r="D52" i="4"/>
  <c r="D52" i="2"/>
  <c r="D56" i="100"/>
  <c r="D56" i="96"/>
  <c r="D56" i="97"/>
  <c r="D56" i="93"/>
  <c r="D56" i="89"/>
  <c r="D56" i="85"/>
  <c r="D56" i="94"/>
  <c r="D56" i="90"/>
  <c r="D56" i="84"/>
  <c r="D56" i="83"/>
  <c r="D56" i="79"/>
  <c r="D56" i="75"/>
  <c r="D56" i="71"/>
  <c r="D56" i="67"/>
  <c r="D56" i="95"/>
  <c r="D56" i="91"/>
  <c r="D56" i="86"/>
  <c r="D56" i="80"/>
  <c r="D56" i="76"/>
  <c r="D56" i="72"/>
  <c r="D56" i="68"/>
  <c r="D56" i="98"/>
  <c r="D56" i="92"/>
  <c r="D56" i="87"/>
  <c r="D56" i="81"/>
  <c r="D56" i="77"/>
  <c r="D56" i="73"/>
  <c r="D56" i="69"/>
  <c r="D56" i="65"/>
  <c r="D56" i="61"/>
  <c r="D56" i="57"/>
  <c r="D56" i="5"/>
  <c r="D56" i="99"/>
  <c r="D56" i="88"/>
  <c r="D56" i="82"/>
  <c r="D56" i="78"/>
  <c r="D56" i="74"/>
  <c r="D56" i="70"/>
  <c r="D56" i="66"/>
  <c r="D56" i="62"/>
  <c r="D56" i="58"/>
  <c r="D56" i="54"/>
  <c r="D56" i="59"/>
  <c r="D56" i="4"/>
  <c r="D56" i="2"/>
  <c r="D56" i="3"/>
  <c r="D56" i="60"/>
  <c r="D56" i="63"/>
  <c r="D56" i="55"/>
  <c r="D56" i="64"/>
  <c r="D56" i="56"/>
  <c r="D8" i="98"/>
  <c r="D8" i="99"/>
  <c r="D8" i="95"/>
  <c r="D8" i="91"/>
  <c r="D8" i="87"/>
  <c r="D8" i="100"/>
  <c r="D8" i="93"/>
  <c r="D8" i="88"/>
  <c r="D8" i="81"/>
  <c r="D8" i="77"/>
  <c r="D8" i="73"/>
  <c r="D8" i="69"/>
  <c r="D8" i="94"/>
  <c r="D8" i="89"/>
  <c r="D8" i="82"/>
  <c r="D8" i="78"/>
  <c r="D8" i="74"/>
  <c r="D8" i="70"/>
  <c r="D8" i="66"/>
  <c r="D8" i="96"/>
  <c r="D8" i="90"/>
  <c r="D8" i="85"/>
  <c r="D8" i="83"/>
  <c r="D8" i="79"/>
  <c r="D8" i="75"/>
  <c r="D8" i="71"/>
  <c r="D8" i="67"/>
  <c r="D8" i="63"/>
  <c r="D8" i="59"/>
  <c r="D8" i="55"/>
  <c r="D8" i="2"/>
  <c r="D8" i="65"/>
  <c r="D8" i="97"/>
  <c r="D8" i="92"/>
  <c r="D8" i="86"/>
  <c r="D8" i="84"/>
  <c r="D8" i="80"/>
  <c r="D8" i="76"/>
  <c r="D8" i="72"/>
  <c r="D8" i="68"/>
  <c r="D8" i="64"/>
  <c r="D8" i="60"/>
  <c r="D8" i="56"/>
  <c r="D8" i="3"/>
  <c r="D8" i="57"/>
  <c r="D8" i="4"/>
  <c r="D8" i="58"/>
  <c r="D8" i="61"/>
  <c r="D8" i="5"/>
  <c r="D8" i="62"/>
  <c r="D8" i="54"/>
  <c r="D15" i="98"/>
  <c r="D15" i="99"/>
  <c r="D15" i="95"/>
  <c r="D15" i="91"/>
  <c r="D15" i="87"/>
  <c r="D15" i="96"/>
  <c r="D15" i="94"/>
  <c r="D15" i="89"/>
  <c r="D15" i="81"/>
  <c r="D15" i="77"/>
  <c r="D15" i="73"/>
  <c r="D15" i="69"/>
  <c r="D15" i="97"/>
  <c r="D15" i="90"/>
  <c r="D15" i="85"/>
  <c r="D15" i="82"/>
  <c r="D15" i="78"/>
  <c r="D15" i="74"/>
  <c r="D15" i="70"/>
  <c r="D15" i="66"/>
  <c r="D15" i="100"/>
  <c r="D15" i="92"/>
  <c r="D15" i="86"/>
  <c r="D15" i="83"/>
  <c r="D15" i="79"/>
  <c r="D15" i="75"/>
  <c r="D15" i="71"/>
  <c r="D15" i="67"/>
  <c r="D15" i="63"/>
  <c r="D15" i="59"/>
  <c r="D15" i="55"/>
  <c r="D15" i="2"/>
  <c r="D15" i="93"/>
  <c r="D15" i="88"/>
  <c r="D15" i="84"/>
  <c r="D15" i="80"/>
  <c r="D15" i="76"/>
  <c r="D15" i="72"/>
  <c r="D15" i="68"/>
  <c r="D15" i="64"/>
  <c r="D15" i="60"/>
  <c r="D15" i="56"/>
  <c r="D15" i="3"/>
  <c r="D15" i="65"/>
  <c r="D15" i="61"/>
  <c r="D15" i="5"/>
  <c r="D15" i="54"/>
  <c r="D15" i="62"/>
  <c r="D15" i="57"/>
  <c r="D15" i="4"/>
  <c r="D15" i="58"/>
  <c r="D47" i="98"/>
  <c r="D47" i="94"/>
  <c r="D47" i="99"/>
  <c r="D47" i="95"/>
  <c r="D47" i="91"/>
  <c r="D47" i="87"/>
  <c r="D47" i="100"/>
  <c r="D47" i="90"/>
  <c r="D47" i="85"/>
  <c r="D47" i="81"/>
  <c r="D47" i="77"/>
  <c r="D47" i="73"/>
  <c r="D47" i="69"/>
  <c r="D47" i="92"/>
  <c r="D47" i="86"/>
  <c r="D47" i="82"/>
  <c r="D47" i="78"/>
  <c r="D47" i="74"/>
  <c r="D47" i="70"/>
  <c r="D47" i="66"/>
  <c r="D47" i="96"/>
  <c r="D47" i="93"/>
  <c r="D47" i="88"/>
  <c r="D47" i="83"/>
  <c r="D47" i="79"/>
  <c r="D47" i="75"/>
  <c r="D47" i="71"/>
  <c r="D47" i="67"/>
  <c r="D47" i="63"/>
  <c r="D47" i="59"/>
  <c r="D47" i="55"/>
  <c r="D47" i="2"/>
  <c r="D47" i="65"/>
  <c r="D47" i="97"/>
  <c r="D47" i="89"/>
  <c r="D47" i="84"/>
  <c r="D47" i="80"/>
  <c r="D47" i="76"/>
  <c r="D47" i="72"/>
  <c r="D47" i="68"/>
  <c r="D47" i="64"/>
  <c r="D47" i="60"/>
  <c r="D47" i="56"/>
  <c r="D47" i="3"/>
  <c r="D47" i="57"/>
  <c r="D47" i="4"/>
  <c r="D47" i="58"/>
  <c r="D47" i="61"/>
  <c r="D47" i="5"/>
  <c r="D47" i="62"/>
  <c r="D47" i="54"/>
  <c r="I5" i="99"/>
  <c r="I5" i="97"/>
  <c r="I5" i="95"/>
  <c r="I5" i="93"/>
  <c r="I5" i="91"/>
  <c r="I5" i="89"/>
  <c r="I5" i="87"/>
  <c r="I5" i="4"/>
  <c r="I5" i="3"/>
  <c r="I5" i="2"/>
  <c r="I5" i="100"/>
  <c r="I5" i="98"/>
  <c r="I5" i="96"/>
  <c r="I5" i="94"/>
  <c r="I5" i="92"/>
  <c r="I5" i="90"/>
  <c r="I5" i="88"/>
  <c r="I5" i="86"/>
  <c r="I5" i="84"/>
  <c r="I5" i="82"/>
  <c r="I5" i="83"/>
  <c r="I5" i="80"/>
  <c r="I5" i="76"/>
  <c r="I5" i="72"/>
  <c r="I5" i="68"/>
  <c r="I5" i="65"/>
  <c r="I5" i="62"/>
  <c r="I5" i="57"/>
  <c r="I5" i="85"/>
  <c r="I5" i="77"/>
  <c r="I5" i="73"/>
  <c r="I5" i="69"/>
  <c r="I5" i="63"/>
  <c r="I5" i="60"/>
  <c r="I5" i="78"/>
  <c r="I5" i="74"/>
  <c r="I5" i="70"/>
  <c r="I5" i="66"/>
  <c r="I5" i="61"/>
  <c r="I5" i="58"/>
  <c r="I5" i="81"/>
  <c r="I5" i="79"/>
  <c r="I5" i="75"/>
  <c r="I5" i="71"/>
  <c r="I5" i="67"/>
  <c r="I5" i="64"/>
  <c r="I5" i="59"/>
  <c r="I5" i="56"/>
  <c r="I5" i="5"/>
  <c r="I5" i="55"/>
  <c r="I5" i="54"/>
  <c r="I22" i="100"/>
  <c r="I22" i="98"/>
  <c r="I22" i="96"/>
  <c r="I22" i="94"/>
  <c r="I22" i="92"/>
  <c r="I22" i="90"/>
  <c r="I22" i="88"/>
  <c r="I22" i="99"/>
  <c r="I22" i="97"/>
  <c r="I22" i="95"/>
  <c r="I22" i="93"/>
  <c r="I22" i="91"/>
  <c r="I22" i="89"/>
  <c r="I22" i="87"/>
  <c r="I22" i="85"/>
  <c r="I22" i="83"/>
  <c r="I22" i="81"/>
  <c r="I22" i="86"/>
  <c r="I22" i="78"/>
  <c r="I22" i="74"/>
  <c r="I22" i="70"/>
  <c r="I22" i="66"/>
  <c r="I22" i="61"/>
  <c r="I22" i="58"/>
  <c r="I22" i="79"/>
  <c r="I22" i="75"/>
  <c r="I22" i="71"/>
  <c r="I22" i="67"/>
  <c r="I22" i="64"/>
  <c r="I22" i="59"/>
  <c r="I22" i="56"/>
  <c r="I22" i="82"/>
  <c r="I22" i="80"/>
  <c r="I22" i="76"/>
  <c r="I22" i="72"/>
  <c r="I22" i="68"/>
  <c r="I22" i="65"/>
  <c r="I22" i="62"/>
  <c r="I22" i="57"/>
  <c r="I22" i="54"/>
  <c r="I22" i="84"/>
  <c r="I22" i="77"/>
  <c r="I22" i="73"/>
  <c r="I22" i="69"/>
  <c r="I22" i="63"/>
  <c r="I22" i="60"/>
  <c r="I22" i="55"/>
  <c r="I22" i="2"/>
  <c r="I22" i="4"/>
  <c r="I22" i="3"/>
  <c r="I22" i="5"/>
  <c r="I32" i="99"/>
  <c r="I32" i="97"/>
  <c r="I32" i="95"/>
  <c r="I32" i="93"/>
  <c r="I32" i="91"/>
  <c r="I32" i="89"/>
  <c r="I32" i="87"/>
  <c r="I32" i="3"/>
  <c r="I32" i="100"/>
  <c r="I32" i="98"/>
  <c r="I32" i="96"/>
  <c r="I32" i="94"/>
  <c r="I32" i="92"/>
  <c r="I32" i="90"/>
  <c r="I32" i="88"/>
  <c r="I32" i="86"/>
  <c r="I32" i="84"/>
  <c r="I32" i="82"/>
  <c r="I32" i="77"/>
  <c r="I32" i="73"/>
  <c r="I32" i="69"/>
  <c r="I32" i="65"/>
  <c r="I32" i="60"/>
  <c r="I32" i="57"/>
  <c r="I32" i="81"/>
  <c r="I32" i="78"/>
  <c r="I32" i="74"/>
  <c r="I32" i="70"/>
  <c r="I32" i="66"/>
  <c r="I32" i="63"/>
  <c r="I32" i="58"/>
  <c r="I32" i="83"/>
  <c r="I32" i="79"/>
  <c r="I32" i="75"/>
  <c r="I32" i="71"/>
  <c r="I32" i="67"/>
  <c r="I32" i="64"/>
  <c r="I32" i="61"/>
  <c r="I32" i="56"/>
  <c r="I32" i="4"/>
  <c r="I32" i="2"/>
  <c r="I32" i="85"/>
  <c r="I32" i="80"/>
  <c r="I32" i="76"/>
  <c r="I32" i="72"/>
  <c r="I32" i="68"/>
  <c r="I32" i="62"/>
  <c r="I32" i="59"/>
  <c r="I32" i="54"/>
  <c r="I32" i="5"/>
  <c r="I32" i="55"/>
  <c r="I36" i="99"/>
  <c r="I36" i="97"/>
  <c r="I36" i="95"/>
  <c r="I36" i="93"/>
  <c r="I36" i="91"/>
  <c r="I36" i="89"/>
  <c r="I36" i="87"/>
  <c r="I36" i="3"/>
  <c r="I36" i="100"/>
  <c r="I36" i="98"/>
  <c r="I36" i="96"/>
  <c r="I36" i="94"/>
  <c r="I36" i="92"/>
  <c r="I36" i="90"/>
  <c r="I36" i="88"/>
  <c r="I36" i="86"/>
  <c r="I36" i="84"/>
  <c r="I36" i="82"/>
  <c r="I36" i="80"/>
  <c r="I36" i="83"/>
  <c r="I36" i="77"/>
  <c r="I36" i="73"/>
  <c r="I36" i="69"/>
  <c r="I36" i="65"/>
  <c r="I36" i="60"/>
  <c r="I36" i="57"/>
  <c r="I36" i="85"/>
  <c r="I36" i="78"/>
  <c r="I36" i="74"/>
  <c r="I36" i="70"/>
  <c r="I36" i="66"/>
  <c r="I36" i="63"/>
  <c r="I36" i="58"/>
  <c r="I36" i="55"/>
  <c r="I36" i="79"/>
  <c r="I36" i="75"/>
  <c r="I36" i="71"/>
  <c r="I36" i="67"/>
  <c r="I36" i="64"/>
  <c r="I36" i="61"/>
  <c r="I36" i="56"/>
  <c r="I36" i="81"/>
  <c r="I36" i="76"/>
  <c r="I36" i="72"/>
  <c r="I36" i="68"/>
  <c r="I36" i="62"/>
  <c r="I36" i="59"/>
  <c r="I36" i="54"/>
  <c r="I36" i="5"/>
  <c r="I36" i="4"/>
  <c r="I36" i="2"/>
  <c r="I43" i="99"/>
  <c r="I43" i="97"/>
  <c r="I43" i="95"/>
  <c r="I43" i="93"/>
  <c r="I43" i="91"/>
  <c r="I43" i="89"/>
  <c r="I43" i="87"/>
  <c r="I43" i="3"/>
  <c r="I43" i="100"/>
  <c r="I43" i="98"/>
  <c r="I43" i="96"/>
  <c r="I43" i="94"/>
  <c r="I43" i="92"/>
  <c r="I43" i="90"/>
  <c r="I43" i="88"/>
  <c r="I43" i="86"/>
  <c r="I43" i="84"/>
  <c r="I43" i="82"/>
  <c r="I43" i="80"/>
  <c r="I43" i="77"/>
  <c r="I43" i="73"/>
  <c r="I43" i="69"/>
  <c r="I43" i="65"/>
  <c r="I43" i="60"/>
  <c r="I43" i="57"/>
  <c r="I43" i="81"/>
  <c r="I43" i="78"/>
  <c r="I43" i="74"/>
  <c r="I43" i="70"/>
  <c r="I43" i="66"/>
  <c r="I43" i="63"/>
  <c r="I43" i="58"/>
  <c r="I43" i="55"/>
  <c r="I43" i="83"/>
  <c r="I43" i="79"/>
  <c r="I43" i="75"/>
  <c r="I43" i="71"/>
  <c r="I43" i="67"/>
  <c r="I43" i="64"/>
  <c r="I43" i="61"/>
  <c r="I43" i="56"/>
  <c r="I43" i="85"/>
  <c r="I43" i="76"/>
  <c r="I43" i="72"/>
  <c r="I43" i="68"/>
  <c r="I43" i="62"/>
  <c r="I43" i="59"/>
  <c r="I43" i="54"/>
  <c r="I43" i="5"/>
  <c r="I43" i="4"/>
  <c r="I43" i="2"/>
  <c r="I50" i="99"/>
  <c r="I50" i="97"/>
  <c r="I50" i="95"/>
  <c r="I50" i="93"/>
  <c r="I50" i="91"/>
  <c r="I50" i="89"/>
  <c r="I50" i="87"/>
  <c r="I50" i="3"/>
  <c r="I50" i="100"/>
  <c r="I50" i="98"/>
  <c r="I50" i="96"/>
  <c r="I50" i="94"/>
  <c r="I50" i="92"/>
  <c r="I50" i="90"/>
  <c r="I50" i="88"/>
  <c r="I50" i="86"/>
  <c r="I50" i="84"/>
  <c r="I50" i="82"/>
  <c r="I50" i="80"/>
  <c r="I50" i="83"/>
  <c r="I50" i="77"/>
  <c r="I50" i="73"/>
  <c r="I50" i="69"/>
  <c r="I50" i="65"/>
  <c r="I50" i="60"/>
  <c r="I50" i="57"/>
  <c r="I50" i="85"/>
  <c r="I50" i="78"/>
  <c r="I50" i="74"/>
  <c r="I50" i="70"/>
  <c r="I50" i="66"/>
  <c r="I50" i="63"/>
  <c r="I50" i="58"/>
  <c r="I50" i="55"/>
  <c r="I50" i="79"/>
  <c r="I50" i="75"/>
  <c r="I50" i="71"/>
  <c r="I50" i="67"/>
  <c r="I50" i="64"/>
  <c r="I50" i="61"/>
  <c r="I50" i="56"/>
  <c r="I50" i="81"/>
  <c r="I50" i="76"/>
  <c r="I50" i="72"/>
  <c r="I50" i="68"/>
  <c r="I50" i="62"/>
  <c r="I50" i="59"/>
  <c r="I50" i="54"/>
  <c r="I50" i="5"/>
  <c r="I50" i="2"/>
  <c r="I50" i="4"/>
  <c r="I20" i="100"/>
  <c r="I20" i="98"/>
  <c r="I20" i="96"/>
  <c r="I20" i="94"/>
  <c r="I20" i="92"/>
  <c r="I20" i="90"/>
  <c r="I20" i="88"/>
  <c r="I20" i="99"/>
  <c r="I20" i="97"/>
  <c r="I20" i="95"/>
  <c r="I20" i="93"/>
  <c r="I20" i="91"/>
  <c r="I20" i="89"/>
  <c r="I20" i="87"/>
  <c r="I20" i="85"/>
  <c r="I20" i="83"/>
  <c r="I20" i="81"/>
  <c r="I20" i="84"/>
  <c r="I20" i="78"/>
  <c r="I20" i="74"/>
  <c r="I20" i="70"/>
  <c r="I20" i="66"/>
  <c r="I20" i="61"/>
  <c r="I20" i="58"/>
  <c r="I20" i="86"/>
  <c r="I20" i="79"/>
  <c r="I20" i="75"/>
  <c r="I20" i="71"/>
  <c r="I20" i="67"/>
  <c r="I20" i="64"/>
  <c r="I20" i="59"/>
  <c r="I20" i="56"/>
  <c r="I20" i="80"/>
  <c r="I20" i="76"/>
  <c r="I20" i="72"/>
  <c r="I20" i="68"/>
  <c r="I20" i="65"/>
  <c r="I20" i="62"/>
  <c r="I20" i="57"/>
  <c r="I20" i="54"/>
  <c r="I20" i="3"/>
  <c r="I20" i="82"/>
  <c r="I20" i="77"/>
  <c r="I20" i="73"/>
  <c r="I20" i="69"/>
  <c r="I20" i="63"/>
  <c r="I20" i="60"/>
  <c r="I20" i="55"/>
  <c r="I20" i="5"/>
  <c r="I20" i="4"/>
  <c r="I20" i="2"/>
  <c r="D25" i="99"/>
  <c r="D25" i="95"/>
  <c r="D25" i="100"/>
  <c r="D25" i="96"/>
  <c r="D25" i="92"/>
  <c r="D25" i="88"/>
  <c r="D25" i="97"/>
  <c r="D25" i="93"/>
  <c r="D25" i="87"/>
  <c r="D25" i="82"/>
  <c r="D25" i="78"/>
  <c r="D25" i="74"/>
  <c r="D25" i="70"/>
  <c r="D25" i="98"/>
  <c r="D25" i="94"/>
  <c r="D25" i="89"/>
  <c r="D25" i="83"/>
  <c r="D25" i="79"/>
  <c r="D25" i="75"/>
  <c r="D25" i="71"/>
  <c r="D25" i="67"/>
  <c r="D25" i="90"/>
  <c r="D25" i="85"/>
  <c r="D25" i="84"/>
  <c r="D25" i="80"/>
  <c r="D25" i="76"/>
  <c r="D25" i="72"/>
  <c r="D25" i="68"/>
  <c r="D25" i="64"/>
  <c r="D25" i="60"/>
  <c r="D25" i="56"/>
  <c r="D25" i="3"/>
  <c r="D25" i="66"/>
  <c r="D25" i="91"/>
  <c r="D25" i="86"/>
  <c r="D25" i="81"/>
  <c r="D25" i="77"/>
  <c r="D25" i="73"/>
  <c r="D25" i="69"/>
  <c r="D25" i="65"/>
  <c r="D25" i="61"/>
  <c r="D25" i="57"/>
  <c r="D25" i="5"/>
  <c r="D25" i="4"/>
  <c r="D25" i="62"/>
  <c r="D25" i="54"/>
  <c r="D25" i="2"/>
  <c r="D25" i="63"/>
  <c r="D25" i="55"/>
  <c r="D25" i="58"/>
  <c r="D25" i="59"/>
  <c r="D21" i="99"/>
  <c r="D21" i="95"/>
  <c r="D21" i="100"/>
  <c r="D21" i="96"/>
  <c r="D21" i="92"/>
  <c r="D21" i="88"/>
  <c r="D21" i="91"/>
  <c r="D21" i="86"/>
  <c r="D21" i="82"/>
  <c r="D21" i="78"/>
  <c r="D21" i="74"/>
  <c r="D21" i="70"/>
  <c r="D21" i="66"/>
  <c r="D21" i="93"/>
  <c r="D21" i="87"/>
  <c r="D21" i="83"/>
  <c r="D21" i="79"/>
  <c r="D21" i="75"/>
  <c r="D21" i="71"/>
  <c r="D21" i="67"/>
  <c r="D21" i="97"/>
  <c r="D21" i="94"/>
  <c r="D21" i="89"/>
  <c r="D21" i="84"/>
  <c r="D21" i="80"/>
  <c r="D21" i="76"/>
  <c r="D21" i="72"/>
  <c r="D21" i="68"/>
  <c r="D21" i="64"/>
  <c r="D21" i="60"/>
  <c r="D21" i="56"/>
  <c r="D21" i="3"/>
  <c r="D21" i="98"/>
  <c r="D21" i="90"/>
  <c r="D21" i="85"/>
  <c r="D21" i="81"/>
  <c r="D21" i="77"/>
  <c r="D21" i="73"/>
  <c r="D21" i="69"/>
  <c r="D21" i="65"/>
  <c r="D21" i="61"/>
  <c r="D21" i="57"/>
  <c r="D21" i="5"/>
  <c r="D21" i="4"/>
  <c r="D21" i="58"/>
  <c r="D21" i="59"/>
  <c r="D21" i="62"/>
  <c r="D21" i="54"/>
  <c r="D21" i="63"/>
  <c r="D21" i="55"/>
  <c r="D21" i="2"/>
  <c r="D51" i="97"/>
  <c r="D51" i="98"/>
  <c r="D51" i="94"/>
  <c r="D51" i="90"/>
  <c r="D51" i="86"/>
  <c r="D51" i="99"/>
  <c r="D51" i="89"/>
  <c r="D51" i="84"/>
  <c r="D51" i="80"/>
  <c r="D51" i="76"/>
  <c r="D51" i="72"/>
  <c r="D51" i="68"/>
  <c r="D51" i="100"/>
  <c r="D51" i="91"/>
  <c r="D51" i="85"/>
  <c r="D51" i="81"/>
  <c r="D51" i="77"/>
  <c r="D51" i="73"/>
  <c r="D51" i="69"/>
  <c r="D51" i="95"/>
  <c r="D51" i="92"/>
  <c r="D51" i="87"/>
  <c r="D51" i="82"/>
  <c r="D51" i="78"/>
  <c r="D51" i="74"/>
  <c r="D51" i="70"/>
  <c r="D51" i="66"/>
  <c r="D51" i="62"/>
  <c r="D51" i="58"/>
  <c r="D51" i="54"/>
  <c r="D51" i="64"/>
  <c r="D51" i="96"/>
  <c r="D51" i="93"/>
  <c r="D51" i="88"/>
  <c r="D51" i="83"/>
  <c r="D51" i="79"/>
  <c r="D51" i="75"/>
  <c r="D51" i="71"/>
  <c r="D51" i="67"/>
  <c r="D51" i="63"/>
  <c r="D51" i="59"/>
  <c r="D51" i="55"/>
  <c r="D51" i="4"/>
  <c r="D51" i="2"/>
  <c r="D51" i="56"/>
  <c r="D51" i="57"/>
  <c r="D51" i="65"/>
  <c r="D51" i="60"/>
  <c r="D51" i="61"/>
  <c r="D51" i="5"/>
  <c r="D51" i="3"/>
  <c r="D4" i="100"/>
  <c r="D4" i="96"/>
  <c r="D4" i="97"/>
  <c r="D4" i="93"/>
  <c r="D4" i="89"/>
  <c r="D4" i="85"/>
  <c r="D4" i="90"/>
  <c r="D4" i="83"/>
  <c r="D4" i="79"/>
  <c r="D4" i="75"/>
  <c r="D4" i="71"/>
  <c r="D4" i="95"/>
  <c r="D4" i="91"/>
  <c r="D4" i="86"/>
  <c r="D4" i="84"/>
  <c r="D4" i="80"/>
  <c r="D4" i="76"/>
  <c r="D4" i="72"/>
  <c r="D4" i="68"/>
  <c r="D4" i="98"/>
  <c r="D4" i="92"/>
  <c r="D4" i="87"/>
  <c r="D4" i="81"/>
  <c r="D4" i="77"/>
  <c r="D4" i="73"/>
  <c r="D4" i="69"/>
  <c r="D4" i="65"/>
  <c r="D4" i="61"/>
  <c r="D4" i="57"/>
  <c r="D4" i="5"/>
  <c r="D4" i="4"/>
  <c r="D4" i="99"/>
  <c r="D4" i="94"/>
  <c r="D4" i="88"/>
  <c r="D4" i="82"/>
  <c r="D4" i="78"/>
  <c r="D4" i="74"/>
  <c r="D4" i="70"/>
  <c r="D4" i="66"/>
  <c r="D4" i="62"/>
  <c r="D4" i="58"/>
  <c r="D4" i="54"/>
  <c r="D4" i="67"/>
  <c r="D4" i="59"/>
  <c r="D4" i="60"/>
  <c r="D4" i="63"/>
  <c r="D4" i="55"/>
  <c r="D4" i="64"/>
  <c r="D4" i="56"/>
  <c r="D4" i="2"/>
  <c r="D4" i="3"/>
  <c r="D12" i="99"/>
  <c r="D12" i="95"/>
  <c r="D12" i="100"/>
  <c r="D12" i="96"/>
  <c r="D12" i="92"/>
  <c r="D12" i="88"/>
  <c r="D12" i="97"/>
  <c r="D12" i="90"/>
  <c r="D12" i="85"/>
  <c r="D12" i="82"/>
  <c r="D12" i="78"/>
  <c r="D12" i="74"/>
  <c r="D12" i="70"/>
  <c r="D12" i="98"/>
  <c r="D12" i="91"/>
  <c r="D12" i="86"/>
  <c r="D12" i="83"/>
  <c r="D12" i="79"/>
  <c r="D12" i="75"/>
  <c r="D12" i="71"/>
  <c r="D12" i="67"/>
  <c r="D12" i="93"/>
  <c r="D12" i="87"/>
  <c r="D12" i="84"/>
  <c r="D12" i="80"/>
  <c r="D12" i="76"/>
  <c r="D12" i="72"/>
  <c r="D12" i="68"/>
  <c r="D12" i="64"/>
  <c r="D12" i="60"/>
  <c r="D12" i="56"/>
  <c r="D12" i="3"/>
  <c r="D12" i="66"/>
  <c r="D12" i="94"/>
  <c r="D12" i="89"/>
  <c r="D12" i="81"/>
  <c r="D12" i="77"/>
  <c r="D12" i="73"/>
  <c r="D12" i="69"/>
  <c r="D12" i="65"/>
  <c r="D12" i="61"/>
  <c r="D12" i="57"/>
  <c r="D12" i="5"/>
  <c r="D12" i="4"/>
  <c r="D12" i="62"/>
  <c r="D12" i="54"/>
  <c r="D12" i="2"/>
  <c r="D12" i="55"/>
  <c r="D12" i="63"/>
  <c r="D12" i="58"/>
  <c r="D12" i="59"/>
  <c r="I4" i="100"/>
  <c r="I4" i="98"/>
  <c r="I4" i="96"/>
  <c r="I4" i="94"/>
  <c r="I4" i="92"/>
  <c r="I4" i="90"/>
  <c r="I4" i="88"/>
  <c r="I4" i="99"/>
  <c r="I4" i="97"/>
  <c r="I4" i="95"/>
  <c r="I4" i="93"/>
  <c r="I4" i="91"/>
  <c r="I4" i="89"/>
  <c r="I4" i="87"/>
  <c r="I4" i="85"/>
  <c r="I4" i="83"/>
  <c r="I4" i="81"/>
  <c r="I4" i="86"/>
  <c r="I4" i="78"/>
  <c r="I4" i="74"/>
  <c r="I4" i="70"/>
  <c r="I4" i="66"/>
  <c r="I4" i="61"/>
  <c r="I4" i="58"/>
  <c r="I4" i="79"/>
  <c r="I4" i="75"/>
  <c r="I4" i="71"/>
  <c r="I4" i="67"/>
  <c r="I4" i="64"/>
  <c r="I4" i="59"/>
  <c r="I4" i="56"/>
  <c r="I4" i="82"/>
  <c r="I4" i="80"/>
  <c r="I4" i="76"/>
  <c r="I4" i="72"/>
  <c r="I4" i="68"/>
  <c r="I4" i="65"/>
  <c r="I4" i="62"/>
  <c r="I4" i="57"/>
  <c r="I4" i="4"/>
  <c r="I4" i="84"/>
  <c r="I4" i="77"/>
  <c r="I4" i="73"/>
  <c r="I4" i="69"/>
  <c r="I4" i="63"/>
  <c r="I4" i="60"/>
  <c r="I4" i="55"/>
  <c r="I4" i="54"/>
  <c r="I4" i="3"/>
  <c r="I4" i="2"/>
  <c r="I4" i="5"/>
  <c r="I15" i="100"/>
  <c r="I15" i="98"/>
  <c r="I15" i="96"/>
  <c r="I15" i="94"/>
  <c r="I15" i="92"/>
  <c r="I15" i="90"/>
  <c r="I15" i="88"/>
  <c r="I15" i="54"/>
  <c r="I15" i="99"/>
  <c r="I15" i="97"/>
  <c r="I15" i="95"/>
  <c r="I15" i="93"/>
  <c r="I15" i="91"/>
  <c r="I15" i="89"/>
  <c r="I15" i="87"/>
  <c r="I15" i="85"/>
  <c r="I15" i="83"/>
  <c r="I15" i="81"/>
  <c r="I15" i="82"/>
  <c r="I15" i="78"/>
  <c r="I15" i="74"/>
  <c r="I15" i="70"/>
  <c r="I15" i="66"/>
  <c r="I15" i="61"/>
  <c r="I15" i="58"/>
  <c r="I15" i="84"/>
  <c r="I15" i="79"/>
  <c r="I15" i="75"/>
  <c r="I15" i="71"/>
  <c r="I15" i="67"/>
  <c r="I15" i="64"/>
  <c r="I15" i="59"/>
  <c r="I15" i="56"/>
  <c r="I15" i="86"/>
  <c r="I15" i="80"/>
  <c r="I15" i="76"/>
  <c r="I15" i="72"/>
  <c r="I15" i="68"/>
  <c r="I15" i="65"/>
  <c r="I15" i="62"/>
  <c r="I15" i="57"/>
  <c r="I15" i="77"/>
  <c r="I15" i="73"/>
  <c r="I15" i="69"/>
  <c r="I15" i="63"/>
  <c r="I15" i="60"/>
  <c r="I15" i="55"/>
  <c r="I15" i="3"/>
  <c r="I15" i="4"/>
  <c r="I15" i="5"/>
  <c r="I15" i="2"/>
  <c r="I31" i="100"/>
  <c r="I31" i="98"/>
  <c r="I31" i="96"/>
  <c r="I31" i="94"/>
  <c r="I31" i="92"/>
  <c r="I31" i="90"/>
  <c r="I31" i="88"/>
  <c r="I31" i="86"/>
  <c r="I31" i="4"/>
  <c r="I31" i="99"/>
  <c r="I31" i="97"/>
  <c r="I31" i="95"/>
  <c r="I31" i="93"/>
  <c r="I31" i="91"/>
  <c r="I31" i="89"/>
  <c r="I31" i="87"/>
  <c r="I31" i="85"/>
  <c r="I31" i="83"/>
  <c r="I31" i="81"/>
  <c r="I31" i="82"/>
  <c r="I31" i="79"/>
  <c r="I31" i="75"/>
  <c r="I31" i="71"/>
  <c r="I31" i="67"/>
  <c r="I31" i="64"/>
  <c r="I31" i="61"/>
  <c r="I31" i="56"/>
  <c r="I31" i="84"/>
  <c r="I31" i="80"/>
  <c r="I31" i="76"/>
  <c r="I31" i="72"/>
  <c r="I31" i="68"/>
  <c r="I31" i="62"/>
  <c r="I31" i="59"/>
  <c r="I31" i="77"/>
  <c r="I31" i="73"/>
  <c r="I31" i="69"/>
  <c r="I31" i="65"/>
  <c r="I31" i="60"/>
  <c r="I31" i="57"/>
  <c r="I31" i="78"/>
  <c r="I31" i="74"/>
  <c r="I31" i="70"/>
  <c r="I31" i="66"/>
  <c r="I31" i="63"/>
  <c r="I31" i="58"/>
  <c r="I31" i="55"/>
  <c r="I31" i="54"/>
  <c r="I31" i="3"/>
  <c r="I31" i="5"/>
  <c r="I31" i="2"/>
  <c r="I35" i="100"/>
  <c r="I35" i="98"/>
  <c r="I35" i="96"/>
  <c r="I35" i="94"/>
  <c r="I35" i="92"/>
  <c r="I35" i="90"/>
  <c r="I35" i="88"/>
  <c r="I35" i="86"/>
  <c r="I35" i="4"/>
  <c r="I35" i="99"/>
  <c r="I35" i="97"/>
  <c r="I35" i="95"/>
  <c r="I35" i="93"/>
  <c r="I35" i="91"/>
  <c r="I35" i="89"/>
  <c r="I35" i="87"/>
  <c r="I35" i="85"/>
  <c r="I35" i="83"/>
  <c r="I35" i="81"/>
  <c r="I35" i="79"/>
  <c r="I35" i="75"/>
  <c r="I35" i="71"/>
  <c r="I35" i="67"/>
  <c r="I35" i="64"/>
  <c r="I35" i="61"/>
  <c r="I35" i="56"/>
  <c r="I35" i="80"/>
  <c r="I35" i="76"/>
  <c r="I35" i="72"/>
  <c r="I35" i="68"/>
  <c r="I35" i="62"/>
  <c r="I35" i="59"/>
  <c r="I35" i="82"/>
  <c r="I35" i="77"/>
  <c r="I35" i="73"/>
  <c r="I35" i="69"/>
  <c r="I35" i="65"/>
  <c r="I35" i="60"/>
  <c r="I35" i="57"/>
  <c r="I35" i="3"/>
  <c r="I35" i="84"/>
  <c r="I35" i="78"/>
  <c r="I35" i="74"/>
  <c r="I35" i="70"/>
  <c r="I35" i="66"/>
  <c r="I35" i="63"/>
  <c r="I35" i="58"/>
  <c r="I35" i="55"/>
  <c r="I35" i="54"/>
  <c r="I35" i="5"/>
  <c r="I35" i="2"/>
  <c r="I42" i="100"/>
  <c r="I42" i="98"/>
  <c r="I42" i="96"/>
  <c r="I42" i="94"/>
  <c r="I42" i="92"/>
  <c r="I42" i="90"/>
  <c r="I42" i="88"/>
  <c r="I42" i="86"/>
  <c r="I42" i="99"/>
  <c r="I42" i="97"/>
  <c r="I42" i="95"/>
  <c r="I42" i="93"/>
  <c r="I42" i="91"/>
  <c r="I42" i="89"/>
  <c r="I42" i="87"/>
  <c r="I42" i="85"/>
  <c r="I42" i="83"/>
  <c r="I42" i="81"/>
  <c r="I42" i="82"/>
  <c r="I42" i="79"/>
  <c r="I42" i="75"/>
  <c r="I42" i="71"/>
  <c r="I42" i="67"/>
  <c r="I42" i="64"/>
  <c r="I42" i="61"/>
  <c r="I42" i="56"/>
  <c r="I42" i="84"/>
  <c r="I42" i="76"/>
  <c r="I42" i="72"/>
  <c r="I42" i="68"/>
  <c r="I42" i="62"/>
  <c r="I42" i="59"/>
  <c r="I42" i="77"/>
  <c r="I42" i="73"/>
  <c r="I42" i="69"/>
  <c r="I42" i="65"/>
  <c r="I42" i="60"/>
  <c r="I42" i="57"/>
  <c r="I42" i="4"/>
  <c r="I42" i="80"/>
  <c r="I42" i="78"/>
  <c r="I42" i="74"/>
  <c r="I42" i="70"/>
  <c r="I42" i="66"/>
  <c r="I42" i="63"/>
  <c r="I42" i="58"/>
  <c r="I42" i="55"/>
  <c r="I42" i="2"/>
  <c r="I42" i="54"/>
  <c r="I42" i="5"/>
  <c r="I42" i="3"/>
  <c r="I46" i="100"/>
  <c r="I46" i="98"/>
  <c r="I46" i="96"/>
  <c r="I46" i="94"/>
  <c r="I46" i="92"/>
  <c r="I46" i="90"/>
  <c r="I46" i="88"/>
  <c r="I46" i="86"/>
  <c r="I46" i="99"/>
  <c r="I46" i="97"/>
  <c r="I46" i="95"/>
  <c r="I46" i="93"/>
  <c r="I46" i="91"/>
  <c r="I46" i="89"/>
  <c r="I46" i="87"/>
  <c r="I46" i="85"/>
  <c r="I46" i="83"/>
  <c r="I46" i="81"/>
  <c r="I46" i="79"/>
  <c r="I46" i="75"/>
  <c r="I46" i="71"/>
  <c r="I46" i="67"/>
  <c r="I46" i="64"/>
  <c r="I46" i="61"/>
  <c r="I46" i="56"/>
  <c r="I46" i="80"/>
  <c r="I46" i="76"/>
  <c r="I46" i="72"/>
  <c r="I46" i="68"/>
  <c r="I46" i="62"/>
  <c r="I46" i="59"/>
  <c r="I46" i="82"/>
  <c r="I46" i="77"/>
  <c r="I46" i="73"/>
  <c r="I46" i="69"/>
  <c r="I46" i="65"/>
  <c r="I46" i="60"/>
  <c r="I46" i="57"/>
  <c r="I46" i="4"/>
  <c r="I46" i="3"/>
  <c r="I46" i="2"/>
  <c r="I46" i="84"/>
  <c r="I46" i="78"/>
  <c r="I46" i="74"/>
  <c r="I46" i="70"/>
  <c r="I46" i="66"/>
  <c r="I46" i="63"/>
  <c r="I46" i="58"/>
  <c r="I46" i="55"/>
  <c r="I46" i="54"/>
  <c r="I46" i="5"/>
  <c r="C11" i="102"/>
  <c r="D11" i="100"/>
  <c r="D11" i="96"/>
  <c r="D11" i="97"/>
  <c r="D11" i="93"/>
  <c r="D11" i="89"/>
  <c r="D11" i="85"/>
  <c r="D11" i="98"/>
  <c r="D11" i="91"/>
  <c r="D11" i="86"/>
  <c r="D11" i="83"/>
  <c r="D11" i="79"/>
  <c r="D11" i="75"/>
  <c r="D11" i="71"/>
  <c r="D11" i="67"/>
  <c r="D11" i="99"/>
  <c r="D11" i="92"/>
  <c r="D11" i="87"/>
  <c r="D11" i="84"/>
  <c r="D11" i="80"/>
  <c r="D11" i="76"/>
  <c r="D11" i="72"/>
  <c r="D11" i="68"/>
  <c r="D11" i="94"/>
  <c r="D11" i="88"/>
  <c r="D11" i="81"/>
  <c r="D11" i="77"/>
  <c r="D11" i="73"/>
  <c r="D11" i="69"/>
  <c r="D11" i="65"/>
  <c r="D11" i="61"/>
  <c r="D11" i="57"/>
  <c r="D11" i="5"/>
  <c r="D11" i="95"/>
  <c r="D11" i="90"/>
  <c r="D11" i="82"/>
  <c r="D11" i="78"/>
  <c r="D11" i="74"/>
  <c r="D11" i="70"/>
  <c r="D11" i="66"/>
  <c r="D11" i="62"/>
  <c r="D11" i="58"/>
  <c r="D11" i="54"/>
  <c r="D11" i="63"/>
  <c r="D11" i="55"/>
  <c r="D11" i="3"/>
  <c r="D11" i="56"/>
  <c r="D11" i="64"/>
  <c r="D11" i="59"/>
  <c r="D11" i="60"/>
  <c r="D11" i="4"/>
  <c r="D11" i="2"/>
  <c r="D42" i="100"/>
  <c r="D42" i="96"/>
  <c r="D42" i="97"/>
  <c r="D42" i="93"/>
  <c r="D42" i="89"/>
  <c r="D42" i="85"/>
  <c r="D42" i="94"/>
  <c r="D42" i="92"/>
  <c r="D42" i="87"/>
  <c r="D42" i="83"/>
  <c r="D42" i="79"/>
  <c r="D42" i="75"/>
  <c r="D42" i="71"/>
  <c r="D42" i="67"/>
  <c r="D42" i="95"/>
  <c r="D42" i="88"/>
  <c r="D42" i="84"/>
  <c r="D42" i="80"/>
  <c r="D42" i="76"/>
  <c r="D42" i="72"/>
  <c r="D42" i="68"/>
  <c r="D42" i="98"/>
  <c r="D42" i="90"/>
  <c r="D42" i="81"/>
  <c r="D42" i="77"/>
  <c r="D42" i="73"/>
  <c r="D42" i="69"/>
  <c r="D42" i="65"/>
  <c r="D42" i="61"/>
  <c r="D42" i="57"/>
  <c r="D42" i="5"/>
  <c r="D42" i="99"/>
  <c r="D42" i="91"/>
  <c r="D42" i="86"/>
  <c r="D42" i="82"/>
  <c r="D42" i="78"/>
  <c r="D42" i="74"/>
  <c r="D42" i="70"/>
  <c r="D42" i="66"/>
  <c r="D42" i="62"/>
  <c r="D42" i="58"/>
  <c r="D42" i="54"/>
  <c r="D42" i="59"/>
  <c r="D42" i="64"/>
  <c r="D42" i="60"/>
  <c r="D42" i="63"/>
  <c r="D42" i="55"/>
  <c r="D42" i="3"/>
  <c r="D42" i="56"/>
  <c r="D42" i="4"/>
  <c r="D42" i="2"/>
  <c r="I14" i="99"/>
  <c r="I14" i="97"/>
  <c r="I14" i="95"/>
  <c r="I14" i="93"/>
  <c r="I14" i="91"/>
  <c r="I14" i="89"/>
  <c r="I14" i="87"/>
  <c r="I14" i="4"/>
  <c r="I14" i="3"/>
  <c r="I14" i="100"/>
  <c r="I14" i="98"/>
  <c r="I14" i="96"/>
  <c r="I14" i="94"/>
  <c r="I14" i="92"/>
  <c r="I14" i="90"/>
  <c r="I14" i="88"/>
  <c r="I14" i="86"/>
  <c r="I14" i="84"/>
  <c r="I14" i="82"/>
  <c r="I14" i="85"/>
  <c r="I14" i="80"/>
  <c r="I14" i="76"/>
  <c r="I14" i="72"/>
  <c r="I14" i="68"/>
  <c r="I14" i="65"/>
  <c r="I14" i="62"/>
  <c r="I14" i="57"/>
  <c r="I14" i="77"/>
  <c r="I14" i="73"/>
  <c r="I14" i="69"/>
  <c r="I14" i="63"/>
  <c r="I14" i="60"/>
  <c r="I14" i="81"/>
  <c r="I14" i="78"/>
  <c r="I14" i="74"/>
  <c r="I14" i="70"/>
  <c r="I14" i="66"/>
  <c r="I14" i="61"/>
  <c r="I14" i="58"/>
  <c r="I14" i="83"/>
  <c r="I14" i="79"/>
  <c r="I14" i="75"/>
  <c r="I14" i="71"/>
  <c r="I14" i="67"/>
  <c r="I14" i="64"/>
  <c r="I14" i="59"/>
  <c r="I14" i="56"/>
  <c r="I14" i="54"/>
  <c r="I14" i="5"/>
  <c r="I14" i="2"/>
  <c r="I14" i="55"/>
  <c r="I28" i="99"/>
  <c r="I28" i="97"/>
  <c r="I28" i="95"/>
  <c r="I28" i="93"/>
  <c r="I28" i="91"/>
  <c r="I28" i="89"/>
  <c r="I28" i="87"/>
  <c r="I28" i="3"/>
  <c r="I28" i="100"/>
  <c r="I28" i="98"/>
  <c r="I28" i="96"/>
  <c r="I28" i="94"/>
  <c r="I28" i="92"/>
  <c r="I28" i="90"/>
  <c r="I28" i="88"/>
  <c r="I28" i="86"/>
  <c r="I28" i="84"/>
  <c r="I28" i="82"/>
  <c r="I28" i="85"/>
  <c r="I28" i="77"/>
  <c r="I28" i="73"/>
  <c r="I28" i="69"/>
  <c r="I28" i="65"/>
  <c r="I28" i="60"/>
  <c r="I28" i="57"/>
  <c r="I28" i="78"/>
  <c r="I28" i="74"/>
  <c r="I28" i="70"/>
  <c r="I28" i="66"/>
  <c r="I28" i="63"/>
  <c r="I28" i="58"/>
  <c r="I28" i="81"/>
  <c r="I28" i="79"/>
  <c r="I28" i="75"/>
  <c r="I28" i="71"/>
  <c r="I28" i="67"/>
  <c r="I28" i="64"/>
  <c r="I28" i="61"/>
  <c r="I28" i="56"/>
  <c r="I28" i="83"/>
  <c r="I28" i="80"/>
  <c r="I28" i="76"/>
  <c r="I28" i="72"/>
  <c r="I28" i="68"/>
  <c r="I28" i="62"/>
  <c r="I28" i="59"/>
  <c r="I28" i="54"/>
  <c r="I28" i="5"/>
  <c r="I28" i="2"/>
  <c r="I28" i="55"/>
  <c r="I28" i="4"/>
  <c r="I34" i="99"/>
  <c r="I34" i="97"/>
  <c r="I34" i="95"/>
  <c r="I34" i="93"/>
  <c r="I34" i="91"/>
  <c r="I34" i="89"/>
  <c r="I34" i="87"/>
  <c r="I34" i="3"/>
  <c r="I34" i="100"/>
  <c r="I34" i="98"/>
  <c r="I34" i="96"/>
  <c r="I34" i="94"/>
  <c r="I34" i="92"/>
  <c r="I34" i="90"/>
  <c r="I34" i="88"/>
  <c r="I34" i="86"/>
  <c r="I34" i="84"/>
  <c r="I34" i="82"/>
  <c r="I34" i="81"/>
  <c r="I34" i="77"/>
  <c r="I34" i="73"/>
  <c r="I34" i="69"/>
  <c r="I34" i="65"/>
  <c r="I34" i="60"/>
  <c r="I34" i="57"/>
  <c r="I34" i="83"/>
  <c r="I34" i="78"/>
  <c r="I34" i="74"/>
  <c r="I34" i="70"/>
  <c r="I34" i="66"/>
  <c r="I34" i="63"/>
  <c r="I34" i="58"/>
  <c r="I34" i="55"/>
  <c r="I34" i="85"/>
  <c r="I34" i="79"/>
  <c r="I34" i="75"/>
  <c r="I34" i="71"/>
  <c r="I34" i="67"/>
  <c r="I34" i="64"/>
  <c r="I34" i="61"/>
  <c r="I34" i="56"/>
  <c r="I34" i="80"/>
  <c r="I34" i="76"/>
  <c r="I34" i="72"/>
  <c r="I34" i="68"/>
  <c r="I34" i="62"/>
  <c r="I34" i="59"/>
  <c r="I34" i="54"/>
  <c r="I34" i="5"/>
  <c r="I34" i="4"/>
  <c r="I34" i="2"/>
  <c r="I41" i="99"/>
  <c r="I41" i="97"/>
  <c r="I41" i="95"/>
  <c r="I41" i="93"/>
  <c r="I41" i="91"/>
  <c r="I41" i="89"/>
  <c r="I41" i="87"/>
  <c r="I41" i="3"/>
  <c r="I41" i="100"/>
  <c r="I41" i="98"/>
  <c r="I41" i="96"/>
  <c r="I41" i="94"/>
  <c r="I41" i="92"/>
  <c r="I41" i="90"/>
  <c r="I41" i="88"/>
  <c r="I41" i="86"/>
  <c r="I41" i="84"/>
  <c r="I41" i="82"/>
  <c r="I41" i="80"/>
  <c r="I41" i="85"/>
  <c r="I41" i="77"/>
  <c r="I41" i="73"/>
  <c r="I41" i="69"/>
  <c r="I41" i="65"/>
  <c r="I41" i="60"/>
  <c r="I41" i="57"/>
  <c r="I41" i="78"/>
  <c r="I41" i="74"/>
  <c r="I41" i="70"/>
  <c r="I41" i="66"/>
  <c r="I41" i="63"/>
  <c r="I41" i="58"/>
  <c r="I41" i="55"/>
  <c r="I41" i="81"/>
  <c r="I41" i="79"/>
  <c r="I41" i="75"/>
  <c r="I41" i="71"/>
  <c r="I41" i="67"/>
  <c r="I41" i="64"/>
  <c r="I41" i="61"/>
  <c r="I41" i="56"/>
  <c r="I41" i="2"/>
  <c r="I41" i="83"/>
  <c r="I41" i="76"/>
  <c r="I41" i="72"/>
  <c r="I41" i="68"/>
  <c r="I41" i="62"/>
  <c r="I41" i="59"/>
  <c r="I41" i="54"/>
  <c r="I41" i="5"/>
  <c r="I41" i="4"/>
  <c r="I45" i="99"/>
  <c r="I45" i="97"/>
  <c r="I45" i="95"/>
  <c r="I45" i="93"/>
  <c r="I45" i="91"/>
  <c r="I45" i="89"/>
  <c r="I45" i="87"/>
  <c r="I45" i="3"/>
  <c r="I45" i="100"/>
  <c r="I45" i="98"/>
  <c r="I45" i="96"/>
  <c r="I45" i="94"/>
  <c r="I45" i="92"/>
  <c r="I45" i="90"/>
  <c r="I45" i="88"/>
  <c r="I45" i="86"/>
  <c r="I45" i="84"/>
  <c r="I45" i="82"/>
  <c r="I45" i="80"/>
  <c r="I45" i="81"/>
  <c r="I45" i="77"/>
  <c r="I45" i="73"/>
  <c r="I45" i="69"/>
  <c r="I45" i="65"/>
  <c r="I45" i="60"/>
  <c r="I45" i="57"/>
  <c r="I45" i="83"/>
  <c r="I45" i="78"/>
  <c r="I45" i="74"/>
  <c r="I45" i="70"/>
  <c r="I45" i="66"/>
  <c r="I45" i="63"/>
  <c r="I45" i="58"/>
  <c r="I45" i="55"/>
  <c r="I45" i="85"/>
  <c r="I45" i="79"/>
  <c r="I45" i="75"/>
  <c r="I45" i="71"/>
  <c r="I45" i="67"/>
  <c r="I45" i="64"/>
  <c r="I45" i="61"/>
  <c r="I45" i="56"/>
  <c r="I45" i="76"/>
  <c r="I45" i="72"/>
  <c r="I45" i="68"/>
  <c r="I45" i="62"/>
  <c r="I45" i="59"/>
  <c r="I45" i="54"/>
  <c r="I45" i="5"/>
  <c r="I45" i="4"/>
  <c r="I45" i="2"/>
  <c r="C25" i="67"/>
  <c r="C46"/>
  <c r="C47"/>
  <c r="C30"/>
  <c r="C21"/>
  <c r="C39"/>
  <c r="C52"/>
  <c r="B55" i="102"/>
  <c r="C16" i="67"/>
  <c r="C15"/>
  <c r="C17" s="1"/>
  <c r="C42"/>
  <c r="C9"/>
  <c r="C8"/>
  <c r="C10" s="1"/>
  <c r="C56"/>
  <c r="C29"/>
  <c r="C33"/>
  <c r="C38"/>
  <c r="C51"/>
  <c r="C55"/>
  <c r="C23"/>
  <c r="C24"/>
  <c r="G23"/>
  <c r="C32"/>
  <c r="C37"/>
  <c r="C41"/>
  <c r="C54"/>
  <c r="B57" i="102"/>
  <c r="C31" i="67"/>
  <c r="C20"/>
  <c r="C22"/>
  <c r="C40"/>
  <c r="C53"/>
  <c r="B56" i="102"/>
  <c r="C12"/>
  <c r="G23"/>
  <c r="G23" i="81"/>
  <c r="B50" i="102"/>
  <c r="B34" i="100"/>
  <c r="B5" i="102"/>
  <c r="B33"/>
  <c r="B24"/>
  <c r="B29"/>
  <c r="B41"/>
  <c r="B37"/>
  <c r="B38"/>
  <c r="B31"/>
  <c r="B22"/>
  <c r="B39"/>
  <c r="B23"/>
  <c r="B40"/>
  <c r="B30"/>
  <c r="B20"/>
  <c r="B10"/>
  <c r="C9" s="1"/>
  <c r="G49"/>
  <c r="B57" i="2"/>
  <c r="B32" i="102"/>
  <c r="B43" i="2"/>
  <c r="B26"/>
  <c r="G39" i="102"/>
  <c r="B17"/>
  <c r="G54"/>
  <c r="G16"/>
  <c r="G18" s="1"/>
  <c r="G6"/>
  <c r="B43" i="87"/>
  <c r="B43" i="100"/>
  <c r="B43" i="63"/>
  <c r="B43" i="60"/>
  <c r="B57" i="56"/>
  <c r="B26" i="90"/>
  <c r="B26" i="83"/>
  <c r="B57" i="3"/>
  <c r="B26" i="69"/>
  <c r="B26" i="71"/>
  <c r="B26" i="61"/>
  <c r="B34" i="63"/>
  <c r="G23" i="88"/>
  <c r="G52" i="2"/>
  <c r="C17" i="100" l="1"/>
  <c r="C40"/>
  <c r="C41"/>
  <c r="C37"/>
  <c r="C42"/>
  <c r="C38"/>
  <c r="C39"/>
  <c r="C10"/>
  <c r="C33"/>
  <c r="C29"/>
  <c r="C34" s="1"/>
  <c r="C30"/>
  <c r="C31"/>
  <c r="C32"/>
  <c r="H38"/>
  <c r="C26"/>
  <c r="H23"/>
  <c r="H6"/>
  <c r="H47"/>
  <c r="C34" i="99"/>
  <c r="H38"/>
  <c r="C10"/>
  <c r="H47"/>
  <c r="C57"/>
  <c r="H52"/>
  <c r="C43"/>
  <c r="C26" i="98"/>
  <c r="H52"/>
  <c r="C43"/>
  <c r="H6"/>
  <c r="C57"/>
  <c r="C17"/>
  <c r="H47"/>
  <c r="C26" i="97"/>
  <c r="C57"/>
  <c r="C34"/>
  <c r="C48"/>
  <c r="H47"/>
  <c r="H38"/>
  <c r="H6"/>
  <c r="H23" i="96"/>
  <c r="C57"/>
  <c r="C17"/>
  <c r="H47"/>
  <c r="H38"/>
  <c r="C10"/>
  <c r="C26"/>
  <c r="C48"/>
  <c r="C43"/>
  <c r="H6"/>
  <c r="C43" i="95"/>
  <c r="C10"/>
  <c r="H38"/>
  <c r="H6"/>
  <c r="C26"/>
  <c r="C57"/>
  <c r="H47"/>
  <c r="C34" i="94"/>
  <c r="C43"/>
  <c r="C48"/>
  <c r="H47"/>
  <c r="C57"/>
  <c r="H52"/>
  <c r="H47" i="93"/>
  <c r="C26"/>
  <c r="C57"/>
  <c r="C43"/>
  <c r="C10"/>
  <c r="C34"/>
  <c r="C48"/>
  <c r="H52"/>
  <c r="H38"/>
  <c r="C34" i="92"/>
  <c r="C26"/>
  <c r="C48"/>
  <c r="H47"/>
  <c r="C17"/>
  <c r="H6"/>
  <c r="C43"/>
  <c r="H38"/>
  <c r="C26" i="91"/>
  <c r="H38"/>
  <c r="H47"/>
  <c r="C43"/>
  <c r="H6"/>
  <c r="H23"/>
  <c r="H52"/>
  <c r="C17"/>
  <c r="C34"/>
  <c r="C34" i="90"/>
  <c r="H47"/>
  <c r="C57"/>
  <c r="H6"/>
  <c r="C43"/>
  <c r="C22"/>
  <c r="C24"/>
  <c r="C20"/>
  <c r="C25"/>
  <c r="C21"/>
  <c r="C23"/>
  <c r="H23"/>
  <c r="C34" i="89"/>
  <c r="H38"/>
  <c r="H47"/>
  <c r="C26"/>
  <c r="H6"/>
  <c r="C10"/>
  <c r="C48"/>
  <c r="H38" i="88"/>
  <c r="C48"/>
  <c r="H47"/>
  <c r="H22"/>
  <c r="H20"/>
  <c r="H21"/>
  <c r="H23" s="1"/>
  <c r="C43"/>
  <c r="C26"/>
  <c r="C57"/>
  <c r="C57" i="87"/>
  <c r="C42"/>
  <c r="C38"/>
  <c r="C39"/>
  <c r="C40"/>
  <c r="C41"/>
  <c r="C37"/>
  <c r="C26"/>
  <c r="C34"/>
  <c r="H6"/>
  <c r="H23" i="86"/>
  <c r="H47"/>
  <c r="H52"/>
  <c r="C10"/>
  <c r="H6"/>
  <c r="C57"/>
  <c r="C34"/>
  <c r="C43"/>
  <c r="H47" i="85"/>
  <c r="H6"/>
  <c r="H38"/>
  <c r="H52"/>
  <c r="C34"/>
  <c r="C26"/>
  <c r="H23"/>
  <c r="C43" i="84"/>
  <c r="C34"/>
  <c r="C26"/>
  <c r="H47"/>
  <c r="C57"/>
  <c r="H38"/>
  <c r="C10"/>
  <c r="H6"/>
  <c r="C57" i="83"/>
  <c r="C48"/>
  <c r="H6"/>
  <c r="H23"/>
  <c r="H38"/>
  <c r="C24"/>
  <c r="C20"/>
  <c r="C22"/>
  <c r="C25"/>
  <c r="C21"/>
  <c r="C23"/>
  <c r="H47"/>
  <c r="C26" i="82"/>
  <c r="H6"/>
  <c r="H52"/>
  <c r="H38"/>
  <c r="H23"/>
  <c r="C10"/>
  <c r="H47"/>
  <c r="C43" i="81"/>
  <c r="H38"/>
  <c r="H20"/>
  <c r="H21"/>
  <c r="H22"/>
  <c r="C34"/>
  <c r="C10"/>
  <c r="C48"/>
  <c r="C57"/>
  <c r="C17"/>
  <c r="H47"/>
  <c r="H47" i="80"/>
  <c r="H6"/>
  <c r="C48"/>
  <c r="C26"/>
  <c r="C34"/>
  <c r="C17"/>
  <c r="H6" i="79"/>
  <c r="C43"/>
  <c r="C26"/>
  <c r="H47"/>
  <c r="H52"/>
  <c r="C48"/>
  <c r="C10"/>
  <c r="C57"/>
  <c r="H23"/>
  <c r="C57" i="78"/>
  <c r="C48"/>
  <c r="C43"/>
  <c r="H47"/>
  <c r="H23"/>
  <c r="C26"/>
  <c r="H52"/>
  <c r="C17"/>
  <c r="H23" i="77"/>
  <c r="H47"/>
  <c r="C17"/>
  <c r="C10"/>
  <c r="H6"/>
  <c r="C34"/>
  <c r="H38"/>
  <c r="C43"/>
  <c r="C26"/>
  <c r="H47" i="76"/>
  <c r="H23"/>
  <c r="H38"/>
  <c r="H52"/>
  <c r="C48"/>
  <c r="C34"/>
  <c r="C10"/>
  <c r="C26" i="75"/>
  <c r="C34"/>
  <c r="H6"/>
  <c r="H47"/>
  <c r="H52"/>
  <c r="C43"/>
  <c r="H23"/>
  <c r="C17"/>
  <c r="H47" i="74"/>
  <c r="C57"/>
  <c r="C10"/>
  <c r="C26"/>
  <c r="H52"/>
  <c r="H23"/>
  <c r="H23" i="73"/>
  <c r="C26"/>
  <c r="H52"/>
  <c r="C57"/>
  <c r="C17"/>
  <c r="C48" i="72"/>
  <c r="H47"/>
  <c r="C57"/>
  <c r="H52"/>
  <c r="H23"/>
  <c r="C34"/>
  <c r="H6"/>
  <c r="H38" i="71"/>
  <c r="C43"/>
  <c r="C25"/>
  <c r="C21"/>
  <c r="C23"/>
  <c r="C20"/>
  <c r="C26" s="1"/>
  <c r="C22"/>
  <c r="C24"/>
  <c r="C48"/>
  <c r="C10"/>
  <c r="C57"/>
  <c r="H47"/>
  <c r="H6"/>
  <c r="C17"/>
  <c r="C26" i="70"/>
  <c r="C48"/>
  <c r="H47"/>
  <c r="C43"/>
  <c r="C34"/>
  <c r="H38"/>
  <c r="H6"/>
  <c r="H47" i="69"/>
  <c r="C43"/>
  <c r="C57"/>
  <c r="H38"/>
  <c r="C25"/>
  <c r="C21"/>
  <c r="C23"/>
  <c r="C24"/>
  <c r="C20"/>
  <c r="C22"/>
  <c r="C17"/>
  <c r="H6" i="65"/>
  <c r="C26"/>
  <c r="H38"/>
  <c r="H23"/>
  <c r="H47"/>
  <c r="H52"/>
  <c r="C34"/>
  <c r="C34" i="64"/>
  <c r="H6"/>
  <c r="C57"/>
  <c r="H23"/>
  <c r="H47"/>
  <c r="C43"/>
  <c r="C26"/>
  <c r="H38"/>
  <c r="C32" i="63"/>
  <c r="C33"/>
  <c r="C29"/>
  <c r="C30"/>
  <c r="C31"/>
  <c r="H52"/>
  <c r="C10"/>
  <c r="H38"/>
  <c r="H47"/>
  <c r="C57"/>
  <c r="C39"/>
  <c r="C40"/>
  <c r="C41"/>
  <c r="C37"/>
  <c r="C43" s="1"/>
  <c r="C42"/>
  <c r="C38"/>
  <c r="H47" i="62"/>
  <c r="C17"/>
  <c r="C57"/>
  <c r="C43"/>
  <c r="C48"/>
  <c r="H23"/>
  <c r="C10"/>
  <c r="H38"/>
  <c r="C23" i="61"/>
  <c r="C21"/>
  <c r="C24"/>
  <c r="C20"/>
  <c r="C25"/>
  <c r="C22"/>
  <c r="H38"/>
  <c r="C43"/>
  <c r="C34"/>
  <c r="C57"/>
  <c r="H6"/>
  <c r="H47"/>
  <c r="C17"/>
  <c r="C41" i="60"/>
  <c r="C37"/>
  <c r="C39"/>
  <c r="C42"/>
  <c r="C40"/>
  <c r="C38"/>
  <c r="C34"/>
  <c r="H6"/>
  <c r="C26"/>
  <c r="H38"/>
  <c r="C57"/>
  <c r="H23"/>
  <c r="H47"/>
  <c r="C10"/>
  <c r="C43" i="59"/>
  <c r="C57"/>
  <c r="H52"/>
  <c r="H47"/>
  <c r="C48"/>
  <c r="H38"/>
  <c r="C26"/>
  <c r="H47" i="58"/>
  <c r="C43"/>
  <c r="C26"/>
  <c r="H38"/>
  <c r="C17"/>
  <c r="C34" i="57"/>
  <c r="C26"/>
  <c r="C48"/>
  <c r="H47"/>
  <c r="C17"/>
  <c r="H52"/>
  <c r="H6" i="56"/>
  <c r="H47"/>
  <c r="C26"/>
  <c r="C34"/>
  <c r="C10"/>
  <c r="C54"/>
  <c r="C55"/>
  <c r="C56"/>
  <c r="C53"/>
  <c r="C51"/>
  <c r="C52"/>
  <c r="H52"/>
  <c r="C26" i="55"/>
  <c r="H47"/>
  <c r="H38"/>
  <c r="C43"/>
  <c r="C57"/>
  <c r="C34"/>
  <c r="H23"/>
  <c r="C34" i="54"/>
  <c r="C57"/>
  <c r="C26"/>
  <c r="H38"/>
  <c r="H47"/>
  <c r="C17"/>
  <c r="C34" i="5"/>
  <c r="C43"/>
  <c r="C17"/>
  <c r="H38"/>
  <c r="B59" i="102"/>
  <c r="C10" i="5"/>
  <c r="H23"/>
  <c r="C57"/>
  <c r="C43" i="4"/>
  <c r="C48"/>
  <c r="H6"/>
  <c r="C26"/>
  <c r="H52"/>
  <c r="H38"/>
  <c r="H47"/>
  <c r="C17"/>
  <c r="H18"/>
  <c r="C57"/>
  <c r="C53" i="3"/>
  <c r="C51"/>
  <c r="C56"/>
  <c r="C52"/>
  <c r="C54"/>
  <c r="C55"/>
  <c r="C26"/>
  <c r="C43"/>
  <c r="H23"/>
  <c r="C10"/>
  <c r="C34"/>
  <c r="C17"/>
  <c r="H48" i="102"/>
  <c r="I47" i="5"/>
  <c r="I47" i="98"/>
  <c r="I47" i="78"/>
  <c r="I47" i="99"/>
  <c r="I47" i="95"/>
  <c r="I47" i="91"/>
  <c r="I47" i="87"/>
  <c r="I47" i="83"/>
  <c r="I47" i="79"/>
  <c r="I47" i="75"/>
  <c r="I47" i="71"/>
  <c r="I47" i="67"/>
  <c r="I47" i="63"/>
  <c r="I47" i="59"/>
  <c r="I47" i="55"/>
  <c r="I47" i="93"/>
  <c r="I47" i="89"/>
  <c r="I47" i="81"/>
  <c r="I47" i="73"/>
  <c r="I47" i="65"/>
  <c r="I47" i="57"/>
  <c r="I47" i="3"/>
  <c r="I47" i="2"/>
  <c r="I47" i="90"/>
  <c r="I47" i="82"/>
  <c r="I47" i="70"/>
  <c r="I47" i="62"/>
  <c r="I47" i="54"/>
  <c r="I47" i="100"/>
  <c r="I47" i="96"/>
  <c r="I47" i="92"/>
  <c r="I47" i="88"/>
  <c r="I47" i="84"/>
  <c r="I47" i="80"/>
  <c r="I47" i="76"/>
  <c r="I47" i="72"/>
  <c r="I47" i="68"/>
  <c r="I47" i="64"/>
  <c r="I47" i="60"/>
  <c r="I47" i="56"/>
  <c r="I47" i="4"/>
  <c r="I47" i="97"/>
  <c r="I47" i="85"/>
  <c r="I47" i="77"/>
  <c r="I47" i="69"/>
  <c r="I47" i="61"/>
  <c r="I47" i="94"/>
  <c r="I47" i="86"/>
  <c r="I47" i="74"/>
  <c r="I47" i="66"/>
  <c r="I47" i="58"/>
  <c r="D5" i="99"/>
  <c r="D5" i="95"/>
  <c r="D5" i="100"/>
  <c r="D5" i="96"/>
  <c r="D5" i="92"/>
  <c r="D5" i="88"/>
  <c r="D5" i="94"/>
  <c r="D5" i="89"/>
  <c r="D5" i="82"/>
  <c r="D5" i="78"/>
  <c r="D5" i="74"/>
  <c r="D5" i="70"/>
  <c r="D5" i="90"/>
  <c r="D5" i="85"/>
  <c r="D5" i="83"/>
  <c r="D5" i="79"/>
  <c r="D5" i="75"/>
  <c r="D5" i="71"/>
  <c r="D5" i="67"/>
  <c r="D5" i="97"/>
  <c r="D5" i="91"/>
  <c r="D5" i="86"/>
  <c r="D5" i="84"/>
  <c r="D5" i="80"/>
  <c r="D5" i="76"/>
  <c r="D5" i="72"/>
  <c r="D5" i="68"/>
  <c r="D5" i="64"/>
  <c r="D5" i="60"/>
  <c r="D5" i="56"/>
  <c r="D5" i="3"/>
  <c r="D5" i="98"/>
  <c r="D5" i="93"/>
  <c r="D5" i="87"/>
  <c r="D5" i="81"/>
  <c r="D5" i="77"/>
  <c r="D5" i="73"/>
  <c r="D5" i="69"/>
  <c r="D5" i="65"/>
  <c r="D5" i="61"/>
  <c r="D5" i="57"/>
  <c r="D5" i="5"/>
  <c r="D5" i="4"/>
  <c r="D5" i="66"/>
  <c r="D5" i="58"/>
  <c r="D5" i="2"/>
  <c r="D5" i="59"/>
  <c r="D5" i="62"/>
  <c r="D5" i="54"/>
  <c r="D5" i="63"/>
  <c r="D5" i="55"/>
  <c r="H38" i="102"/>
  <c r="I38" i="95"/>
  <c r="I38" i="63"/>
  <c r="I38" i="100"/>
  <c r="I38" i="96"/>
  <c r="I38" i="92"/>
  <c r="I38" i="88"/>
  <c r="I38" i="84"/>
  <c r="I38" i="80"/>
  <c r="I38" i="76"/>
  <c r="I38" i="72"/>
  <c r="I38" i="68"/>
  <c r="I38" i="64"/>
  <c r="I38" i="60"/>
  <c r="I38" i="56"/>
  <c r="I38" i="89"/>
  <c r="I38" i="65"/>
  <c r="I38" i="57"/>
  <c r="I38" i="3"/>
  <c r="I38" i="2"/>
  <c r="I38" i="94"/>
  <c r="I38" i="86"/>
  <c r="I38" i="78"/>
  <c r="I38" i="70"/>
  <c r="I38" i="62"/>
  <c r="I38" i="58"/>
  <c r="I38" i="91"/>
  <c r="I38" i="83"/>
  <c r="I38" i="75"/>
  <c r="I38" i="67"/>
  <c r="I38" i="55"/>
  <c r="I38" i="97"/>
  <c r="I38" i="93"/>
  <c r="I38" i="85"/>
  <c r="I38" i="81"/>
  <c r="I38" i="77"/>
  <c r="I38" i="73"/>
  <c r="I38" i="69"/>
  <c r="I38" i="61"/>
  <c r="I38" i="5"/>
  <c r="I38" i="98"/>
  <c r="I38" i="90"/>
  <c r="I38" i="82"/>
  <c r="I38" i="74"/>
  <c r="I38" i="66"/>
  <c r="I38" i="54"/>
  <c r="I38" i="99"/>
  <c r="I38" i="87"/>
  <c r="I38" i="79"/>
  <c r="I38" i="71"/>
  <c r="I38" i="59"/>
  <c r="I38" i="4"/>
  <c r="D39" i="99"/>
  <c r="D39" i="95"/>
  <c r="D39" i="100"/>
  <c r="D39" i="96"/>
  <c r="D39" i="92"/>
  <c r="D39" i="88"/>
  <c r="D39" i="97"/>
  <c r="D39" i="90"/>
  <c r="D39" i="85"/>
  <c r="D39" i="82"/>
  <c r="D39" i="78"/>
  <c r="D39" i="74"/>
  <c r="D39" i="70"/>
  <c r="D39" i="66"/>
  <c r="D39" i="98"/>
  <c r="D39" i="91"/>
  <c r="D39" i="86"/>
  <c r="D39" i="83"/>
  <c r="D39" i="79"/>
  <c r="D39" i="75"/>
  <c r="D39" i="71"/>
  <c r="D39" i="67"/>
  <c r="D39" i="93"/>
  <c r="D39" i="87"/>
  <c r="D39" i="84"/>
  <c r="D39" i="80"/>
  <c r="D39" i="76"/>
  <c r="D39" i="72"/>
  <c r="D39" i="68"/>
  <c r="D39" i="64"/>
  <c r="D39" i="60"/>
  <c r="D39" i="56"/>
  <c r="D39" i="3"/>
  <c r="D39" i="94"/>
  <c r="D39" i="89"/>
  <c r="D39" i="81"/>
  <c r="D39" i="77"/>
  <c r="D39" i="73"/>
  <c r="D39" i="69"/>
  <c r="D39" i="65"/>
  <c r="D39" i="61"/>
  <c r="D39" i="57"/>
  <c r="D39" i="5"/>
  <c r="D39" i="4"/>
  <c r="D39" i="62"/>
  <c r="D39" i="54"/>
  <c r="D39" i="2"/>
  <c r="D39" i="63"/>
  <c r="D39" i="58"/>
  <c r="D39" i="59"/>
  <c r="D39" i="55"/>
  <c r="D33" i="98"/>
  <c r="D33" i="99"/>
  <c r="D33" i="95"/>
  <c r="D33" i="91"/>
  <c r="D33" i="87"/>
  <c r="D33" i="100"/>
  <c r="D33" i="93"/>
  <c r="D33" i="88"/>
  <c r="D33" i="81"/>
  <c r="D33" i="77"/>
  <c r="D33" i="73"/>
  <c r="D33" i="69"/>
  <c r="D33" i="94"/>
  <c r="D33" i="89"/>
  <c r="D33" i="82"/>
  <c r="D33" i="78"/>
  <c r="D33" i="74"/>
  <c r="D33" i="70"/>
  <c r="D33" i="66"/>
  <c r="D33" i="96"/>
  <c r="D33" i="90"/>
  <c r="D33" i="85"/>
  <c r="D33" i="83"/>
  <c r="D33" i="79"/>
  <c r="D33" i="75"/>
  <c r="D33" i="71"/>
  <c r="D33" i="67"/>
  <c r="D33" i="63"/>
  <c r="D33" i="59"/>
  <c r="D33" i="55"/>
  <c r="D33" i="2"/>
  <c r="D33" i="97"/>
  <c r="D33" i="92"/>
  <c r="D33" i="86"/>
  <c r="D33" i="84"/>
  <c r="D33" i="80"/>
  <c r="D33" i="76"/>
  <c r="D33" i="72"/>
  <c r="D33" i="68"/>
  <c r="D33" i="64"/>
  <c r="D33" i="60"/>
  <c r="D33" i="56"/>
  <c r="D33" i="3"/>
  <c r="D33" i="65"/>
  <c r="D33" i="57"/>
  <c r="D33" i="4"/>
  <c r="D33" i="58"/>
  <c r="D33" i="61"/>
  <c r="D33" i="5"/>
  <c r="D33" i="62"/>
  <c r="D33" i="54"/>
  <c r="C16" i="102"/>
  <c r="D17" i="100"/>
  <c r="D17" i="96"/>
  <c r="D17" i="92"/>
  <c r="D17" i="88"/>
  <c r="D17" i="84"/>
  <c r="D17" i="80"/>
  <c r="D17" i="76"/>
  <c r="D17" i="72"/>
  <c r="D17" i="68"/>
  <c r="D17" i="64"/>
  <c r="D17" i="60"/>
  <c r="D17" i="56"/>
  <c r="D17" i="4"/>
  <c r="D17" i="97"/>
  <c r="D17" i="93"/>
  <c r="D17" i="89"/>
  <c r="D17" i="85"/>
  <c r="D17" i="81"/>
  <c r="D17" i="77"/>
  <c r="D17" i="73"/>
  <c r="D17" i="69"/>
  <c r="D17" i="65"/>
  <c r="D17" i="61"/>
  <c r="D17" i="57"/>
  <c r="D17" i="5"/>
  <c r="D17" i="98"/>
  <c r="D17" i="94"/>
  <c r="D17" i="90"/>
  <c r="D17" i="86"/>
  <c r="D17" i="82"/>
  <c r="D17" i="78"/>
  <c r="D17" i="74"/>
  <c r="D17" i="70"/>
  <c r="D17" i="66"/>
  <c r="D17" i="62"/>
  <c r="D17" i="58"/>
  <c r="D17" i="54"/>
  <c r="D17" i="2"/>
  <c r="D17" i="99"/>
  <c r="D17" i="95"/>
  <c r="D17" i="91"/>
  <c r="D17" i="87"/>
  <c r="D17" i="83"/>
  <c r="D17" i="79"/>
  <c r="D17" i="75"/>
  <c r="D17" i="71"/>
  <c r="D17" i="67"/>
  <c r="D17" i="63"/>
  <c r="D17" i="59"/>
  <c r="D17" i="55"/>
  <c r="D17" i="3"/>
  <c r="D32" i="99"/>
  <c r="D32" i="95"/>
  <c r="D32" i="100"/>
  <c r="D32" i="96"/>
  <c r="D32" i="92"/>
  <c r="D32" i="88"/>
  <c r="D32" i="94"/>
  <c r="D32" i="89"/>
  <c r="D32" i="82"/>
  <c r="D32" i="78"/>
  <c r="D32" i="74"/>
  <c r="D32" i="70"/>
  <c r="D32" i="90"/>
  <c r="D32" i="85"/>
  <c r="D32" i="83"/>
  <c r="D32" i="79"/>
  <c r="D32" i="75"/>
  <c r="D32" i="71"/>
  <c r="D32" i="67"/>
  <c r="D32" i="97"/>
  <c r="D32" i="91"/>
  <c r="D32" i="86"/>
  <c r="D32" i="84"/>
  <c r="D32" i="80"/>
  <c r="D32" i="76"/>
  <c r="D32" i="72"/>
  <c r="D32" i="68"/>
  <c r="D32" i="64"/>
  <c r="D32" i="60"/>
  <c r="D32" i="56"/>
  <c r="D32" i="3"/>
  <c r="D32" i="98"/>
  <c r="D32" i="93"/>
  <c r="D32" i="87"/>
  <c r="D32" i="81"/>
  <c r="D32" i="77"/>
  <c r="D32" i="73"/>
  <c r="D32" i="69"/>
  <c r="D32" i="65"/>
  <c r="D32" i="61"/>
  <c r="D32" i="57"/>
  <c r="D32" i="5"/>
  <c r="D32" i="4"/>
  <c r="D32" i="66"/>
  <c r="D32" i="58"/>
  <c r="D32" i="2"/>
  <c r="D32" i="59"/>
  <c r="D32" i="62"/>
  <c r="D32" i="54"/>
  <c r="D32" i="63"/>
  <c r="D32" i="55"/>
  <c r="D20" i="100"/>
  <c r="D20" i="96"/>
  <c r="D20" i="97"/>
  <c r="D20" i="93"/>
  <c r="D20" i="89"/>
  <c r="D20" i="85"/>
  <c r="D20" i="92"/>
  <c r="D20" i="87"/>
  <c r="D20" i="83"/>
  <c r="D20" i="79"/>
  <c r="D20" i="75"/>
  <c r="D20" i="71"/>
  <c r="D20" i="67"/>
  <c r="D20" i="95"/>
  <c r="D20" i="94"/>
  <c r="D20" i="88"/>
  <c r="D20" i="84"/>
  <c r="D20" i="80"/>
  <c r="D20" i="76"/>
  <c r="D20" i="72"/>
  <c r="D20" i="68"/>
  <c r="D20" i="98"/>
  <c r="D20" i="90"/>
  <c r="D20" i="81"/>
  <c r="D20" i="77"/>
  <c r="D20" i="73"/>
  <c r="D20" i="69"/>
  <c r="D20" i="65"/>
  <c r="D20" i="61"/>
  <c r="D20" i="57"/>
  <c r="D20" i="5"/>
  <c r="D20" i="99"/>
  <c r="D20" i="91"/>
  <c r="D20" i="86"/>
  <c r="D20" i="82"/>
  <c r="D20" i="78"/>
  <c r="D20" i="74"/>
  <c r="D20" i="70"/>
  <c r="D20" i="66"/>
  <c r="D20" i="62"/>
  <c r="D20" i="58"/>
  <c r="D20" i="54"/>
  <c r="D20" i="59"/>
  <c r="D20" i="3"/>
  <c r="D20" i="60"/>
  <c r="D20" i="2"/>
  <c r="D20" i="63"/>
  <c r="D20" i="55"/>
  <c r="D20" i="64"/>
  <c r="D20" i="56"/>
  <c r="D20" i="4"/>
  <c r="D23" i="97"/>
  <c r="D23" i="98"/>
  <c r="D23" i="94"/>
  <c r="D23" i="90"/>
  <c r="D23" i="86"/>
  <c r="D23" i="99"/>
  <c r="D23" i="89"/>
  <c r="D23" i="84"/>
  <c r="D23" i="80"/>
  <c r="D23" i="76"/>
  <c r="D23" i="72"/>
  <c r="D23" i="100"/>
  <c r="D23" i="91"/>
  <c r="D23" i="85"/>
  <c r="D23" i="81"/>
  <c r="D23" i="77"/>
  <c r="D23" i="73"/>
  <c r="D23" i="69"/>
  <c r="D23" i="95"/>
  <c r="D23" i="92"/>
  <c r="D23" i="87"/>
  <c r="D23" i="82"/>
  <c r="D23" i="78"/>
  <c r="D23" i="74"/>
  <c r="D23" i="70"/>
  <c r="D23" i="66"/>
  <c r="D23" i="62"/>
  <c r="D23" i="58"/>
  <c r="D23" i="54"/>
  <c r="D23" i="68"/>
  <c r="D23" i="96"/>
  <c r="D23" i="93"/>
  <c r="D23" i="88"/>
  <c r="D23" i="83"/>
  <c r="D23" i="79"/>
  <c r="D23" i="75"/>
  <c r="D23" i="71"/>
  <c r="D23" i="67"/>
  <c r="D23" i="63"/>
  <c r="D23" i="59"/>
  <c r="D23" i="55"/>
  <c r="D23" i="4"/>
  <c r="D23" i="2"/>
  <c r="D23" i="64"/>
  <c r="D23" i="56"/>
  <c r="D23" i="57"/>
  <c r="D23" i="65"/>
  <c r="D23" i="60"/>
  <c r="D23" i="61"/>
  <c r="D23" i="5"/>
  <c r="D23" i="3"/>
  <c r="D38" i="100"/>
  <c r="D38" i="96"/>
  <c r="D38" i="97"/>
  <c r="D38" i="93"/>
  <c r="D38" i="89"/>
  <c r="D38" i="85"/>
  <c r="D38" i="98"/>
  <c r="D38" i="91"/>
  <c r="D38" i="86"/>
  <c r="D38" i="83"/>
  <c r="D38" i="79"/>
  <c r="D38" i="75"/>
  <c r="D38" i="71"/>
  <c r="D38" i="67"/>
  <c r="D38" i="99"/>
  <c r="D38" i="92"/>
  <c r="D38" i="87"/>
  <c r="D38" i="84"/>
  <c r="D38" i="80"/>
  <c r="D38" i="76"/>
  <c r="D38" i="72"/>
  <c r="D38" i="68"/>
  <c r="D38" i="94"/>
  <c r="D38" i="88"/>
  <c r="D38" i="81"/>
  <c r="D38" i="77"/>
  <c r="D38" i="73"/>
  <c r="D38" i="69"/>
  <c r="D38" i="65"/>
  <c r="D38" i="61"/>
  <c r="D38" i="57"/>
  <c r="D38" i="5"/>
  <c r="D38" i="95"/>
  <c r="D38" i="90"/>
  <c r="D38" i="82"/>
  <c r="D38" i="78"/>
  <c r="D38" i="74"/>
  <c r="D38" i="70"/>
  <c r="D38" i="66"/>
  <c r="D38" i="62"/>
  <c r="D38" i="58"/>
  <c r="D38" i="54"/>
  <c r="D38" i="64"/>
  <c r="D38" i="63"/>
  <c r="D38" i="55"/>
  <c r="D38" i="3"/>
  <c r="D38" i="56"/>
  <c r="D38" i="59"/>
  <c r="D38" i="60"/>
  <c r="D38" i="4"/>
  <c r="D38" i="2"/>
  <c r="D24" i="100"/>
  <c r="D24" i="96"/>
  <c r="D24" i="97"/>
  <c r="D24" i="93"/>
  <c r="D24" i="89"/>
  <c r="D24" i="85"/>
  <c r="D24" i="98"/>
  <c r="D24" i="94"/>
  <c r="D24" i="88"/>
  <c r="D24" i="83"/>
  <c r="D24" i="79"/>
  <c r="D24" i="75"/>
  <c r="D24" i="71"/>
  <c r="D24" i="67"/>
  <c r="D24" i="99"/>
  <c r="D24" i="90"/>
  <c r="D24" i="84"/>
  <c r="D24" i="80"/>
  <c r="D24" i="76"/>
  <c r="D24" i="72"/>
  <c r="D24" i="68"/>
  <c r="D24" i="91"/>
  <c r="D24" i="86"/>
  <c r="D24" i="81"/>
  <c r="D24" i="77"/>
  <c r="D24" i="73"/>
  <c r="D24" i="69"/>
  <c r="D24" i="65"/>
  <c r="D24" i="61"/>
  <c r="D24" i="57"/>
  <c r="D24" i="5"/>
  <c r="D24" i="95"/>
  <c r="D24" i="92"/>
  <c r="D24" i="87"/>
  <c r="D24" i="82"/>
  <c r="D24" i="78"/>
  <c r="D24" i="74"/>
  <c r="D24" i="70"/>
  <c r="D24" i="66"/>
  <c r="D24" i="62"/>
  <c r="D24" i="58"/>
  <c r="D24" i="54"/>
  <c r="D24" i="63"/>
  <c r="D24" i="55"/>
  <c r="D24" i="3"/>
  <c r="D24" i="64"/>
  <c r="D24" i="56"/>
  <c r="D24" i="59"/>
  <c r="D24" i="60"/>
  <c r="D24" i="4"/>
  <c r="D24" i="2"/>
  <c r="C49" i="102"/>
  <c r="D48" i="100"/>
  <c r="D48" i="96"/>
  <c r="D48" i="92"/>
  <c r="D48" i="88"/>
  <c r="D48" i="84"/>
  <c r="D48" i="80"/>
  <c r="D48" i="76"/>
  <c r="D48" i="72"/>
  <c r="D48" i="68"/>
  <c r="D48" i="64"/>
  <c r="D48" i="60"/>
  <c r="D48" i="56"/>
  <c r="D48" i="4"/>
  <c r="D48" i="97"/>
  <c r="D48" i="93"/>
  <c r="D48" i="89"/>
  <c r="D48" i="85"/>
  <c r="D48" i="81"/>
  <c r="D48" i="77"/>
  <c r="D48" i="73"/>
  <c r="D48" i="69"/>
  <c r="D48" i="65"/>
  <c r="D48" i="61"/>
  <c r="D48" i="57"/>
  <c r="D48" i="5"/>
  <c r="D48" i="98"/>
  <c r="D48" i="94"/>
  <c r="D48" i="90"/>
  <c r="D48" i="86"/>
  <c r="D48" i="82"/>
  <c r="D48" i="78"/>
  <c r="D48" i="74"/>
  <c r="D48" i="70"/>
  <c r="D48" i="66"/>
  <c r="D48" i="62"/>
  <c r="D48" i="58"/>
  <c r="D48" i="54"/>
  <c r="D48" i="2"/>
  <c r="D48" i="99"/>
  <c r="D48" i="95"/>
  <c r="D48" i="91"/>
  <c r="D48" i="87"/>
  <c r="D48" i="83"/>
  <c r="D48" i="79"/>
  <c r="D48" i="75"/>
  <c r="D48" i="71"/>
  <c r="D48" i="67"/>
  <c r="D48" i="63"/>
  <c r="D48" i="59"/>
  <c r="D48" i="55"/>
  <c r="D48" i="3"/>
  <c r="D54" i="98"/>
  <c r="D54" i="94"/>
  <c r="D54" i="99"/>
  <c r="D54" i="95"/>
  <c r="D54" i="91"/>
  <c r="D54" i="87"/>
  <c r="D54" i="96"/>
  <c r="D54" i="92"/>
  <c r="D54" i="86"/>
  <c r="D54" i="81"/>
  <c r="D54" i="77"/>
  <c r="D54" i="73"/>
  <c r="D54" i="69"/>
  <c r="D54" i="97"/>
  <c r="D54" i="93"/>
  <c r="D54" i="88"/>
  <c r="D54" i="82"/>
  <c r="D54" i="78"/>
  <c r="D54" i="74"/>
  <c r="D54" i="70"/>
  <c r="D54" i="66"/>
  <c r="D54" i="100"/>
  <c r="D54" i="89"/>
  <c r="D54" i="84"/>
  <c r="D54" i="83"/>
  <c r="D54" i="79"/>
  <c r="D54" i="75"/>
  <c r="D54" i="71"/>
  <c r="D54" i="67"/>
  <c r="D54" i="63"/>
  <c r="D54" i="59"/>
  <c r="D54" i="55"/>
  <c r="D54" i="2"/>
  <c r="D54" i="90"/>
  <c r="D54" i="85"/>
  <c r="D54" i="80"/>
  <c r="D54" i="76"/>
  <c r="D54" i="72"/>
  <c r="D54" i="68"/>
  <c r="D54" i="64"/>
  <c r="D54" i="60"/>
  <c r="D54" i="56"/>
  <c r="D54" i="3"/>
  <c r="D54" i="65"/>
  <c r="D54" i="61"/>
  <c r="D54" i="5"/>
  <c r="D54" i="62"/>
  <c r="D54" i="57"/>
  <c r="D54" i="4"/>
  <c r="D54" i="58"/>
  <c r="D54" i="54"/>
  <c r="H15" i="102"/>
  <c r="I18" i="95"/>
  <c r="I18" i="80"/>
  <c r="I18" i="97"/>
  <c r="I18" i="93"/>
  <c r="I18" i="89"/>
  <c r="I18" i="85"/>
  <c r="I18" i="81"/>
  <c r="I18" i="77"/>
  <c r="I18" i="73"/>
  <c r="I18" i="69"/>
  <c r="I18" i="65"/>
  <c r="I18" i="61"/>
  <c r="I18" i="57"/>
  <c r="I18" i="98"/>
  <c r="I18" i="90"/>
  <c r="I18" i="82"/>
  <c r="I18" i="74"/>
  <c r="I18" i="66"/>
  <c r="I18" i="58"/>
  <c r="I18" i="87"/>
  <c r="I18" i="79"/>
  <c r="I18" i="71"/>
  <c r="I18" i="63"/>
  <c r="I18" i="55"/>
  <c r="I18" i="92"/>
  <c r="I18" i="84"/>
  <c r="I18" i="72"/>
  <c r="I18" i="64"/>
  <c r="I18" i="56"/>
  <c r="I18" i="94"/>
  <c r="I18" i="86"/>
  <c r="I18" i="78"/>
  <c r="I18" i="70"/>
  <c r="I18" i="62"/>
  <c r="I18" i="99"/>
  <c r="I18" i="91"/>
  <c r="I18" i="83"/>
  <c r="I18" i="75"/>
  <c r="I18" i="67"/>
  <c r="I18" i="59"/>
  <c r="I18" i="3"/>
  <c r="I18" i="100"/>
  <c r="I18" i="96"/>
  <c r="I18" i="88"/>
  <c r="I18" i="76"/>
  <c r="I18" i="68"/>
  <c r="I18" i="60"/>
  <c r="I18" i="4"/>
  <c r="I18" i="2"/>
  <c r="D41" i="97"/>
  <c r="D41" i="98"/>
  <c r="D41" i="94"/>
  <c r="D41" i="90"/>
  <c r="D41" i="86"/>
  <c r="D41" i="95"/>
  <c r="D41" i="93"/>
  <c r="D41" i="88"/>
  <c r="D41" i="84"/>
  <c r="D41" i="80"/>
  <c r="D41" i="76"/>
  <c r="D41" i="72"/>
  <c r="D41" i="68"/>
  <c r="D41" i="96"/>
  <c r="D41" i="89"/>
  <c r="D41" i="81"/>
  <c r="D41" i="77"/>
  <c r="D41" i="73"/>
  <c r="D41" i="69"/>
  <c r="D41" i="99"/>
  <c r="D41" i="91"/>
  <c r="D41" i="85"/>
  <c r="D41" i="82"/>
  <c r="D41" i="78"/>
  <c r="D41" i="74"/>
  <c r="D41" i="70"/>
  <c r="D41" i="66"/>
  <c r="D41" i="62"/>
  <c r="D41" i="58"/>
  <c r="D41" i="54"/>
  <c r="D41" i="100"/>
  <c r="D41" i="92"/>
  <c r="D41" i="87"/>
  <c r="D41" i="83"/>
  <c r="D41" i="79"/>
  <c r="D41" i="75"/>
  <c r="D41" i="71"/>
  <c r="D41" i="67"/>
  <c r="D41" i="63"/>
  <c r="D41" i="59"/>
  <c r="D41" i="55"/>
  <c r="D41" i="4"/>
  <c r="D41" i="2"/>
  <c r="D41" i="64"/>
  <c r="D41" i="60"/>
  <c r="D41" i="3"/>
  <c r="D41" i="65"/>
  <c r="D41" i="61"/>
  <c r="D41" i="5"/>
  <c r="D41" i="56"/>
  <c r="D41" i="57"/>
  <c r="H22" i="102"/>
  <c r="I23" i="75"/>
  <c r="I23" i="5"/>
  <c r="I23" i="100"/>
  <c r="I23" i="96"/>
  <c r="I23" i="92"/>
  <c r="I23" i="88"/>
  <c r="I23" i="84"/>
  <c r="I23" i="80"/>
  <c r="I23" i="76"/>
  <c r="I23" i="72"/>
  <c r="I23" i="68"/>
  <c r="I23" i="64"/>
  <c r="I23" i="60"/>
  <c r="I23" i="56"/>
  <c r="I23" i="3"/>
  <c r="I23" i="2"/>
  <c r="I23" i="93"/>
  <c r="I23" i="85"/>
  <c r="I23" i="77"/>
  <c r="I23" i="73"/>
  <c r="I23" i="65"/>
  <c r="I23" i="57"/>
  <c r="I23" i="94"/>
  <c r="I23" i="86"/>
  <c r="I23" i="78"/>
  <c r="I23" i="70"/>
  <c r="I23" i="62"/>
  <c r="I23" i="54"/>
  <c r="I23" i="99"/>
  <c r="I23" i="91"/>
  <c r="I23" i="83"/>
  <c r="I23" i="71"/>
  <c r="I23" i="63"/>
  <c r="I23" i="55"/>
  <c r="I23" i="97"/>
  <c r="I23" i="89"/>
  <c r="I23" i="81"/>
  <c r="I23" i="69"/>
  <c r="I23" i="61"/>
  <c r="I23" i="4"/>
  <c r="I23" i="98"/>
  <c r="I23" i="90"/>
  <c r="I23" i="82"/>
  <c r="I23" i="74"/>
  <c r="I23" i="66"/>
  <c r="I23" i="58"/>
  <c r="I23" i="95"/>
  <c r="I23" i="87"/>
  <c r="I23" i="79"/>
  <c r="I23" i="67"/>
  <c r="I23" i="59"/>
  <c r="D30" i="97"/>
  <c r="D30" i="98"/>
  <c r="D30" i="94"/>
  <c r="D30" i="90"/>
  <c r="D30" i="86"/>
  <c r="D30" i="95"/>
  <c r="D30" i="91"/>
  <c r="D30" i="85"/>
  <c r="D30" i="84"/>
  <c r="D30" i="80"/>
  <c r="D30" i="76"/>
  <c r="D30" i="72"/>
  <c r="D30" i="68"/>
  <c r="D30" i="96"/>
  <c r="D30" i="92"/>
  <c r="D30" i="87"/>
  <c r="D30" i="81"/>
  <c r="D30" i="77"/>
  <c r="D30" i="73"/>
  <c r="D30" i="69"/>
  <c r="D30" i="99"/>
  <c r="D30" i="93"/>
  <c r="D30" i="88"/>
  <c r="D30" i="82"/>
  <c r="D30" i="78"/>
  <c r="D30" i="74"/>
  <c r="D30" i="70"/>
  <c r="D30" i="66"/>
  <c r="D30" i="62"/>
  <c r="D30" i="58"/>
  <c r="D30" i="54"/>
  <c r="D30" i="64"/>
  <c r="D30" i="100"/>
  <c r="D30" i="89"/>
  <c r="D30" i="83"/>
  <c r="D30" i="79"/>
  <c r="D30" i="75"/>
  <c r="D30" i="71"/>
  <c r="D30" i="67"/>
  <c r="D30" i="63"/>
  <c r="D30" i="59"/>
  <c r="D30" i="55"/>
  <c r="D30" i="4"/>
  <c r="D30" i="2"/>
  <c r="D30" i="60"/>
  <c r="D30" i="5"/>
  <c r="D30" i="61"/>
  <c r="D30" i="56"/>
  <c r="D30" i="65"/>
  <c r="D30" i="57"/>
  <c r="D30" i="3"/>
  <c r="D37" i="97"/>
  <c r="D37" i="98"/>
  <c r="D37" i="94"/>
  <c r="D37" i="90"/>
  <c r="D37" i="86"/>
  <c r="D37" i="99"/>
  <c r="D37" i="92"/>
  <c r="D37" i="87"/>
  <c r="D37" i="84"/>
  <c r="D37" i="80"/>
  <c r="D37" i="76"/>
  <c r="D37" i="72"/>
  <c r="D37" i="68"/>
  <c r="D37" i="100"/>
  <c r="D37" i="93"/>
  <c r="D37" i="88"/>
  <c r="D37" i="81"/>
  <c r="D37" i="77"/>
  <c r="D37" i="73"/>
  <c r="D37" i="69"/>
  <c r="D37" i="95"/>
  <c r="D37" i="89"/>
  <c r="D37" i="82"/>
  <c r="D37" i="78"/>
  <c r="D37" i="74"/>
  <c r="D37" i="70"/>
  <c r="D37" i="66"/>
  <c r="D37" i="62"/>
  <c r="D37" i="58"/>
  <c r="D37" i="54"/>
  <c r="D37" i="96"/>
  <c r="D37" i="91"/>
  <c r="D37" i="85"/>
  <c r="D37" i="83"/>
  <c r="D37" i="79"/>
  <c r="D37" i="75"/>
  <c r="D37" i="71"/>
  <c r="D37" i="67"/>
  <c r="D37" i="63"/>
  <c r="D37" i="59"/>
  <c r="D37" i="55"/>
  <c r="D37" i="4"/>
  <c r="D37" i="2"/>
  <c r="D37" i="65"/>
  <c r="D37" i="56"/>
  <c r="D37" i="57"/>
  <c r="D37" i="60"/>
  <c r="D37" i="64"/>
  <c r="D37" i="61"/>
  <c r="D37" i="5"/>
  <c r="D37" i="3"/>
  <c r="H53" i="102"/>
  <c r="I52" i="99"/>
  <c r="I52" i="95"/>
  <c r="I52" i="91"/>
  <c r="I52" i="87"/>
  <c r="I52" i="83"/>
  <c r="I52" i="79"/>
  <c r="I52" i="75"/>
  <c r="I52" i="63"/>
  <c r="I52" i="3"/>
  <c r="I52" i="100"/>
  <c r="I52" i="96"/>
  <c r="I52" i="92"/>
  <c r="I52" i="88"/>
  <c r="I52" i="84"/>
  <c r="I52" i="80"/>
  <c r="I52" i="76"/>
  <c r="I52" i="72"/>
  <c r="I52" i="60"/>
  <c r="I52" i="56"/>
  <c r="I52" i="4"/>
  <c r="I52" i="97"/>
  <c r="I52" i="93"/>
  <c r="I52" i="89"/>
  <c r="I52" i="85"/>
  <c r="I52" i="81"/>
  <c r="I52" i="77"/>
  <c r="I52" i="73"/>
  <c r="I52" i="69"/>
  <c r="I52" i="65"/>
  <c r="I52" i="61"/>
  <c r="I52" i="57"/>
  <c r="I52" i="5"/>
  <c r="I52" i="67"/>
  <c r="I52" i="55"/>
  <c r="I52" i="68"/>
  <c r="I52" i="98"/>
  <c r="I52" i="94"/>
  <c r="I52" i="90"/>
  <c r="I52" i="86"/>
  <c r="I52" i="82"/>
  <c r="I52" i="78"/>
  <c r="I52" i="74"/>
  <c r="I52" i="70"/>
  <c r="I52" i="66"/>
  <c r="I52" i="62"/>
  <c r="I52" i="58"/>
  <c r="I52" i="54"/>
  <c r="I52" i="71"/>
  <c r="I52" i="59"/>
  <c r="I52" i="64"/>
  <c r="I52" i="2"/>
  <c r="D40" i="98"/>
  <c r="D40" i="94"/>
  <c r="D40" i="99"/>
  <c r="D40" i="95"/>
  <c r="D40" i="91"/>
  <c r="D40" i="87"/>
  <c r="D40" i="96"/>
  <c r="D40" i="89"/>
  <c r="D40" i="81"/>
  <c r="D40" i="77"/>
  <c r="D40" i="73"/>
  <c r="D40" i="69"/>
  <c r="D40" i="65"/>
  <c r="D40" i="97"/>
  <c r="D40" i="90"/>
  <c r="D40" i="85"/>
  <c r="D40" i="82"/>
  <c r="D40" i="78"/>
  <c r="D40" i="74"/>
  <c r="D40" i="70"/>
  <c r="D40" i="66"/>
  <c r="D40" i="100"/>
  <c r="D40" i="92"/>
  <c r="D40" i="86"/>
  <c r="D40" i="83"/>
  <c r="D40" i="79"/>
  <c r="D40" i="75"/>
  <c r="D40" i="71"/>
  <c r="D40" i="67"/>
  <c r="D40" i="63"/>
  <c r="D40" i="59"/>
  <c r="D40" i="55"/>
  <c r="D40" i="2"/>
  <c r="D40" i="93"/>
  <c r="D40" i="88"/>
  <c r="D40" i="84"/>
  <c r="D40" i="80"/>
  <c r="D40" i="76"/>
  <c r="D40" i="72"/>
  <c r="D40" i="68"/>
  <c r="D40" i="64"/>
  <c r="D40" i="60"/>
  <c r="D40" i="56"/>
  <c r="D40" i="3"/>
  <c r="D40" i="61"/>
  <c r="D40" i="5"/>
  <c r="D40" i="62"/>
  <c r="D40" i="54"/>
  <c r="D40" i="57"/>
  <c r="D40" i="4"/>
  <c r="D40" i="58"/>
  <c r="D31" i="100"/>
  <c r="D31" i="96"/>
  <c r="D31" i="97"/>
  <c r="D31" i="93"/>
  <c r="D31" i="89"/>
  <c r="D31" i="85"/>
  <c r="D31" i="90"/>
  <c r="D31" i="83"/>
  <c r="D31" i="79"/>
  <c r="D31" i="75"/>
  <c r="D31" i="71"/>
  <c r="D31" i="67"/>
  <c r="D31" i="95"/>
  <c r="D31" i="91"/>
  <c r="D31" i="86"/>
  <c r="D31" i="84"/>
  <c r="D31" i="80"/>
  <c r="D31" i="76"/>
  <c r="D31" i="72"/>
  <c r="D31" i="68"/>
  <c r="D31" i="98"/>
  <c r="D31" i="92"/>
  <c r="D31" i="87"/>
  <c r="D31" i="81"/>
  <c r="D31" i="77"/>
  <c r="D31" i="73"/>
  <c r="D31" i="69"/>
  <c r="D31" i="65"/>
  <c r="D31" i="61"/>
  <c r="D31" i="57"/>
  <c r="D31" i="5"/>
  <c r="D31" i="99"/>
  <c r="D31" i="94"/>
  <c r="D31" i="88"/>
  <c r="D31" i="82"/>
  <c r="D31" i="78"/>
  <c r="D31" i="74"/>
  <c r="D31" i="70"/>
  <c r="D31" i="66"/>
  <c r="D31" i="62"/>
  <c r="D31" i="58"/>
  <c r="D31" i="54"/>
  <c r="D31" i="59"/>
  <c r="D31" i="4"/>
  <c r="D31" i="2"/>
  <c r="D31" i="60"/>
  <c r="D31" i="64"/>
  <c r="D31" i="63"/>
  <c r="D31" i="55"/>
  <c r="D31" i="56"/>
  <c r="D31" i="3"/>
  <c r="D29" i="98"/>
  <c r="D29" i="99"/>
  <c r="D29" i="95"/>
  <c r="D29" i="91"/>
  <c r="D29" i="87"/>
  <c r="D29" i="96"/>
  <c r="D29" i="92"/>
  <c r="D29" i="86"/>
  <c r="D29" i="81"/>
  <c r="D29" i="77"/>
  <c r="D29" i="73"/>
  <c r="D29" i="69"/>
  <c r="D29" i="97"/>
  <c r="D29" i="93"/>
  <c r="D29" i="88"/>
  <c r="D29" i="82"/>
  <c r="D29" i="78"/>
  <c r="D29" i="74"/>
  <c r="D29" i="70"/>
  <c r="D29" i="66"/>
  <c r="D29" i="100"/>
  <c r="D29" i="94"/>
  <c r="D29" i="89"/>
  <c r="D29" i="83"/>
  <c r="D29" i="79"/>
  <c r="D29" i="75"/>
  <c r="D29" i="71"/>
  <c r="D29" i="67"/>
  <c r="D29" i="63"/>
  <c r="D29" i="59"/>
  <c r="D29" i="55"/>
  <c r="D29" i="2"/>
  <c r="D29" i="65"/>
  <c r="D29" i="90"/>
  <c r="D29" i="85"/>
  <c r="D29" i="84"/>
  <c r="D29" i="80"/>
  <c r="D29" i="76"/>
  <c r="D29" i="72"/>
  <c r="D29" i="68"/>
  <c r="D29" i="64"/>
  <c r="D29" i="60"/>
  <c r="D29" i="56"/>
  <c r="D29" i="3"/>
  <c r="D29" i="61"/>
  <c r="D29" i="5"/>
  <c r="D29" i="62"/>
  <c r="D29" i="57"/>
  <c r="D29" i="4"/>
  <c r="D29" i="58"/>
  <c r="D29" i="54"/>
  <c r="C58" i="102"/>
  <c r="D57" i="97"/>
  <c r="D57" i="93"/>
  <c r="D57" i="89"/>
  <c r="D57" i="85"/>
  <c r="D57" i="81"/>
  <c r="D57" i="77"/>
  <c r="D57" i="73"/>
  <c r="D57" i="69"/>
  <c r="D57" i="65"/>
  <c r="D57" i="61"/>
  <c r="D57" i="57"/>
  <c r="D57" i="5"/>
  <c r="D57" i="98"/>
  <c r="D57" i="94"/>
  <c r="D57" i="90"/>
  <c r="D57" i="86"/>
  <c r="D57" i="82"/>
  <c r="D57" i="78"/>
  <c r="D57" i="74"/>
  <c r="D57" i="70"/>
  <c r="D57" i="66"/>
  <c r="D57" i="62"/>
  <c r="D57" i="58"/>
  <c r="D57" i="54"/>
  <c r="D57" i="2"/>
  <c r="D57" i="99"/>
  <c r="D57" i="95"/>
  <c r="D57" i="91"/>
  <c r="D57" i="87"/>
  <c r="D57" i="83"/>
  <c r="D57" i="79"/>
  <c r="D57" i="75"/>
  <c r="D57" i="71"/>
  <c r="D57" i="67"/>
  <c r="D57" i="63"/>
  <c r="D57" i="59"/>
  <c r="D57" i="55"/>
  <c r="D57" i="3"/>
  <c r="D57" i="100"/>
  <c r="D57" i="96"/>
  <c r="D57" i="92"/>
  <c r="D57" i="88"/>
  <c r="D57" i="84"/>
  <c r="D57" i="80"/>
  <c r="D57" i="76"/>
  <c r="D57" i="72"/>
  <c r="D57" i="68"/>
  <c r="D57" i="64"/>
  <c r="D57" i="60"/>
  <c r="D57" i="56"/>
  <c r="D57" i="4"/>
  <c r="D55" i="97"/>
  <c r="D55" i="98"/>
  <c r="D55" i="94"/>
  <c r="D55" i="90"/>
  <c r="D55" i="86"/>
  <c r="D55" i="95"/>
  <c r="D55" i="91"/>
  <c r="D55" i="85"/>
  <c r="D55" i="80"/>
  <c r="D55" i="76"/>
  <c r="D55" i="72"/>
  <c r="D55" i="96"/>
  <c r="D55" i="92"/>
  <c r="D55" i="87"/>
  <c r="D55" i="81"/>
  <c r="D55" i="77"/>
  <c r="D55" i="73"/>
  <c r="D55" i="69"/>
  <c r="D55" i="65"/>
  <c r="D55" i="99"/>
  <c r="D55" i="93"/>
  <c r="D55" i="88"/>
  <c r="D55" i="82"/>
  <c r="D55" i="78"/>
  <c r="D55" i="74"/>
  <c r="D55" i="70"/>
  <c r="D55" i="66"/>
  <c r="D55" i="62"/>
  <c r="D55" i="58"/>
  <c r="D55" i="54"/>
  <c r="D55" i="100"/>
  <c r="D55" i="89"/>
  <c r="D55" i="84"/>
  <c r="D55" i="83"/>
  <c r="D55" i="79"/>
  <c r="D55" i="75"/>
  <c r="D55" i="71"/>
  <c r="D55" i="67"/>
  <c r="D55" i="63"/>
  <c r="D55" i="59"/>
  <c r="D55" i="55"/>
  <c r="D55" i="4"/>
  <c r="D55" i="2"/>
  <c r="D55" i="68"/>
  <c r="D55" i="64"/>
  <c r="D55" i="60"/>
  <c r="D55" i="61"/>
  <c r="D55" i="56"/>
  <c r="D55" i="57"/>
  <c r="D55" i="5"/>
  <c r="D55" i="3"/>
  <c r="D22" i="98"/>
  <c r="D22" i="99"/>
  <c r="D22" i="95"/>
  <c r="D22" i="91"/>
  <c r="D22" i="87"/>
  <c r="D22" i="100"/>
  <c r="D22" i="90"/>
  <c r="D22" i="85"/>
  <c r="D22" i="81"/>
  <c r="D22" i="77"/>
  <c r="D22" i="73"/>
  <c r="D22" i="69"/>
  <c r="D22" i="92"/>
  <c r="D22" i="86"/>
  <c r="D22" i="82"/>
  <c r="D22" i="78"/>
  <c r="D22" i="74"/>
  <c r="D22" i="70"/>
  <c r="D22" i="66"/>
  <c r="D22" i="96"/>
  <c r="D22" i="93"/>
  <c r="D22" i="88"/>
  <c r="D22" i="83"/>
  <c r="D22" i="79"/>
  <c r="D22" i="75"/>
  <c r="D22" i="71"/>
  <c r="D22" i="67"/>
  <c r="D22" i="63"/>
  <c r="D22" i="59"/>
  <c r="D22" i="55"/>
  <c r="D22" i="2"/>
  <c r="D22" i="65"/>
  <c r="D22" i="97"/>
  <c r="D22" i="94"/>
  <c r="D22" i="89"/>
  <c r="D22" i="84"/>
  <c r="D22" i="80"/>
  <c r="D22" i="76"/>
  <c r="D22" i="72"/>
  <c r="D22" i="68"/>
  <c r="D22" i="64"/>
  <c r="D22" i="60"/>
  <c r="D22" i="56"/>
  <c r="D22" i="3"/>
  <c r="D22" i="57"/>
  <c r="D22" i="4"/>
  <c r="D22" i="58"/>
  <c r="D22" i="61"/>
  <c r="D22" i="5"/>
  <c r="D22" i="62"/>
  <c r="D22" i="54"/>
  <c r="H4" i="102"/>
  <c r="I6" i="62"/>
  <c r="I6" i="94"/>
  <c r="I6" i="54"/>
  <c r="I6" i="99"/>
  <c r="I6" i="95"/>
  <c r="I6" i="91"/>
  <c r="I6" i="87"/>
  <c r="I6" i="83"/>
  <c r="I6" i="79"/>
  <c r="I6" i="75"/>
  <c r="I6" i="71"/>
  <c r="I6" i="67"/>
  <c r="I6" i="63"/>
  <c r="I6" i="59"/>
  <c r="I6" i="55"/>
  <c r="I6" i="3"/>
  <c r="I6" i="100"/>
  <c r="I6" i="92"/>
  <c r="I6" i="84"/>
  <c r="I6" i="76"/>
  <c r="I6" i="68"/>
  <c r="I6" i="60"/>
  <c r="I6" i="56"/>
  <c r="I6" i="97"/>
  <c r="I6" i="89"/>
  <c r="I6" i="85"/>
  <c r="I6" i="77"/>
  <c r="I6" i="65"/>
  <c r="I6" i="57"/>
  <c r="I6" i="98"/>
  <c r="I6" i="86"/>
  <c r="I6" i="78"/>
  <c r="I6" i="70"/>
  <c r="I6" i="58"/>
  <c r="I6" i="96"/>
  <c r="I6" i="88"/>
  <c r="I6" i="80"/>
  <c r="I6" i="72"/>
  <c r="I6" i="64"/>
  <c r="I6" i="4"/>
  <c r="I6" i="93"/>
  <c r="I6" i="81"/>
  <c r="I6" i="73"/>
  <c r="I6" i="69"/>
  <c r="I6" i="61"/>
  <c r="I6" i="5"/>
  <c r="I6" i="90"/>
  <c r="I6" i="82"/>
  <c r="I6" i="74"/>
  <c r="I6" i="66"/>
  <c r="I6" i="2"/>
  <c r="D53" i="99"/>
  <c r="D53" i="95"/>
  <c r="D53" i="100"/>
  <c r="D53" i="96"/>
  <c r="D53" i="92"/>
  <c r="D53" i="88"/>
  <c r="D53" i="84"/>
  <c r="D53" i="97"/>
  <c r="D53" i="93"/>
  <c r="D53" i="87"/>
  <c r="D53" i="82"/>
  <c r="D53" i="78"/>
  <c r="D53" i="74"/>
  <c r="D53" i="70"/>
  <c r="D53" i="98"/>
  <c r="D53" i="89"/>
  <c r="D53" i="83"/>
  <c r="D53" i="79"/>
  <c r="D53" i="75"/>
  <c r="D53" i="71"/>
  <c r="D53" i="67"/>
  <c r="D53" i="90"/>
  <c r="D53" i="85"/>
  <c r="D53" i="80"/>
  <c r="D53" i="76"/>
  <c r="D53" i="72"/>
  <c r="D53" i="68"/>
  <c r="D53" i="64"/>
  <c r="D53" i="60"/>
  <c r="D53" i="56"/>
  <c r="D53" i="3"/>
  <c r="D53" i="66"/>
  <c r="D53" i="94"/>
  <c r="D53" i="91"/>
  <c r="D53" i="86"/>
  <c r="D53" i="81"/>
  <c r="D53" i="77"/>
  <c r="D53" i="73"/>
  <c r="D53" i="69"/>
  <c r="D53" i="65"/>
  <c r="D53" i="61"/>
  <c r="D53" i="57"/>
  <c r="D53" i="5"/>
  <c r="D53" i="4"/>
  <c r="D53" i="62"/>
  <c r="D53" i="54"/>
  <c r="D53" i="2"/>
  <c r="D53" i="63"/>
  <c r="D53" i="55"/>
  <c r="D53" i="58"/>
  <c r="D53" i="59"/>
  <c r="H21" i="102"/>
  <c r="C43" i="67"/>
  <c r="C26"/>
  <c r="C57"/>
  <c r="C34"/>
  <c r="C48"/>
  <c r="H20" i="102"/>
  <c r="C56"/>
  <c r="H31"/>
  <c r="C57"/>
  <c r="H52"/>
  <c r="H54" s="1"/>
  <c r="C8"/>
  <c r="C10" s="1"/>
  <c r="H45"/>
  <c r="H5"/>
  <c r="H6" s="1"/>
  <c r="C55"/>
  <c r="H34"/>
  <c r="H35"/>
  <c r="H32"/>
  <c r="C15"/>
  <c r="C17" s="1"/>
  <c r="H17"/>
  <c r="H42"/>
  <c r="C48"/>
  <c r="C50" s="1"/>
  <c r="H43"/>
  <c r="H14"/>
  <c r="H36"/>
  <c r="C54"/>
  <c r="H33"/>
  <c r="H46"/>
  <c r="H13"/>
  <c r="H47"/>
  <c r="C53"/>
  <c r="H44"/>
  <c r="H37"/>
  <c r="B43"/>
  <c r="C40" s="1"/>
  <c r="B34"/>
  <c r="B26"/>
  <c r="C43" i="100" l="1"/>
  <c r="C26" i="90"/>
  <c r="C43" i="87"/>
  <c r="C26" i="83"/>
  <c r="H23" i="81"/>
  <c r="C26" i="69"/>
  <c r="C34" i="63"/>
  <c r="C26" i="61"/>
  <c r="C43" i="60"/>
  <c r="C57" i="56"/>
  <c r="C57" i="3"/>
  <c r="C24" i="102"/>
  <c r="D26" i="97"/>
  <c r="D26" i="93"/>
  <c r="D26" i="89"/>
  <c r="D26" i="85"/>
  <c r="D26" i="81"/>
  <c r="D26" i="77"/>
  <c r="D26" i="73"/>
  <c r="D26" i="69"/>
  <c r="D26" i="65"/>
  <c r="D26" i="61"/>
  <c r="D26" i="57"/>
  <c r="D26" i="5"/>
  <c r="D26" i="98"/>
  <c r="D26" i="94"/>
  <c r="D26" i="90"/>
  <c r="D26" i="86"/>
  <c r="D26" i="82"/>
  <c r="D26" i="78"/>
  <c r="D26" i="74"/>
  <c r="D26" i="70"/>
  <c r="D26" i="66"/>
  <c r="D26" i="62"/>
  <c r="D26" i="58"/>
  <c r="D26" i="54"/>
  <c r="D26" i="2"/>
  <c r="D26" i="99"/>
  <c r="D26" i="95"/>
  <c r="D26" i="91"/>
  <c r="D26" i="87"/>
  <c r="D26" i="83"/>
  <c r="D26" i="79"/>
  <c r="D26" i="75"/>
  <c r="D26" i="71"/>
  <c r="D26" i="67"/>
  <c r="D26" i="63"/>
  <c r="D26" i="59"/>
  <c r="D26" i="55"/>
  <c r="D26" i="3"/>
  <c r="D26" i="100"/>
  <c r="D26" i="96"/>
  <c r="D26" i="92"/>
  <c r="D26" i="88"/>
  <c r="D26" i="84"/>
  <c r="D26" i="80"/>
  <c r="D26" i="76"/>
  <c r="D26" i="72"/>
  <c r="D26" i="68"/>
  <c r="D26" i="64"/>
  <c r="D26" i="60"/>
  <c r="D26" i="56"/>
  <c r="D26" i="4"/>
  <c r="C42" i="102"/>
  <c r="D43" i="99"/>
  <c r="D43" i="95"/>
  <c r="D43" i="91"/>
  <c r="D43" i="87"/>
  <c r="D43" i="83"/>
  <c r="D43" i="79"/>
  <c r="D43" i="75"/>
  <c r="D43" i="71"/>
  <c r="D43" i="67"/>
  <c r="D43" i="63"/>
  <c r="D43" i="59"/>
  <c r="D43" i="55"/>
  <c r="D43" i="3"/>
  <c r="D43" i="100"/>
  <c r="D43" i="96"/>
  <c r="D43" i="92"/>
  <c r="D43" i="88"/>
  <c r="D43" i="84"/>
  <c r="D43" i="80"/>
  <c r="D43" i="76"/>
  <c r="D43" i="72"/>
  <c r="D43" i="68"/>
  <c r="D43" i="64"/>
  <c r="D43" i="60"/>
  <c r="D43" i="56"/>
  <c r="D43" i="4"/>
  <c r="D43" i="97"/>
  <c r="D43" i="93"/>
  <c r="D43" i="89"/>
  <c r="D43" i="85"/>
  <c r="D43" i="81"/>
  <c r="D43" i="77"/>
  <c r="D43" i="73"/>
  <c r="D43" i="69"/>
  <c r="D43" i="65"/>
  <c r="D43" i="61"/>
  <c r="D43" i="57"/>
  <c r="D43" i="5"/>
  <c r="D43" i="98"/>
  <c r="D43" i="94"/>
  <c r="D43" i="90"/>
  <c r="D43" i="86"/>
  <c r="D43" i="82"/>
  <c r="D43" i="78"/>
  <c r="D43" i="74"/>
  <c r="D43" i="70"/>
  <c r="D43" i="66"/>
  <c r="D43" i="62"/>
  <c r="D43" i="58"/>
  <c r="D43" i="54"/>
  <c r="D43" i="2"/>
  <c r="H23" i="102"/>
  <c r="C32"/>
  <c r="D34" i="98"/>
  <c r="D34" i="94"/>
  <c r="D34" i="90"/>
  <c r="D34" i="86"/>
  <c r="D34" i="82"/>
  <c r="D34" i="78"/>
  <c r="D34" i="74"/>
  <c r="D34" i="70"/>
  <c r="D34" i="66"/>
  <c r="D34" i="62"/>
  <c r="D34" i="58"/>
  <c r="D34" i="54"/>
  <c r="D34" i="2"/>
  <c r="D34" i="99"/>
  <c r="D34" i="95"/>
  <c r="D34" i="91"/>
  <c r="D34" i="87"/>
  <c r="D34" i="83"/>
  <c r="D34" i="79"/>
  <c r="D34" i="75"/>
  <c r="D34" i="71"/>
  <c r="D34" i="67"/>
  <c r="D34" i="63"/>
  <c r="D34" i="59"/>
  <c r="D34" i="55"/>
  <c r="D34" i="3"/>
  <c r="D34" i="100"/>
  <c r="D34" i="96"/>
  <c r="D34" i="92"/>
  <c r="D34" i="88"/>
  <c r="D34" i="84"/>
  <c r="D34" i="80"/>
  <c r="D34" i="76"/>
  <c r="D34" i="72"/>
  <c r="D34" i="68"/>
  <c r="D34" i="64"/>
  <c r="D34" i="60"/>
  <c r="D34" i="56"/>
  <c r="D34" i="4"/>
  <c r="D34" i="97"/>
  <c r="D34" i="93"/>
  <c r="D34" i="89"/>
  <c r="D34" i="85"/>
  <c r="D34" i="81"/>
  <c r="D34" i="77"/>
  <c r="D34" i="73"/>
  <c r="D34" i="69"/>
  <c r="D34" i="65"/>
  <c r="D34" i="61"/>
  <c r="D34" i="57"/>
  <c r="D34" i="5"/>
  <c r="C59" i="102"/>
  <c r="C20"/>
  <c r="H18"/>
  <c r="C21"/>
  <c r="C25"/>
  <c r="C31"/>
  <c r="C29"/>
  <c r="C38"/>
  <c r="C33"/>
  <c r="C30"/>
  <c r="H49"/>
  <c r="C39"/>
  <c r="H39"/>
  <c r="C22"/>
  <c r="C23"/>
  <c r="C37"/>
  <c r="C41"/>
  <c r="C43" l="1"/>
  <c r="C26"/>
  <c r="C34"/>
  <c r="G18" i="5"/>
  <c r="G18" i="54"/>
  <c r="H14" l="1"/>
  <c r="I18"/>
  <c r="H13" i="5"/>
  <c r="H15"/>
  <c r="H17"/>
  <c r="H14"/>
  <c r="I18"/>
  <c r="H17" i="54"/>
  <c r="H13"/>
  <c r="H15"/>
  <c r="H18" i="5" l="1"/>
  <c r="H18" i="54"/>
</calcChain>
</file>

<file path=xl/sharedStrings.xml><?xml version="1.0" encoding="utf-8"?>
<sst xmlns="http://schemas.openxmlformats.org/spreadsheetml/2006/main" count="6603" uniqueCount="213">
  <si>
    <t>ALABAMA</t>
  </si>
  <si>
    <t>Total</t>
  </si>
  <si>
    <t>Urban</t>
  </si>
  <si>
    <t>Rural</t>
  </si>
  <si>
    <t>Population / Land Area</t>
  </si>
  <si>
    <t xml:space="preserve">Interstate </t>
  </si>
  <si>
    <t>Minor Arterial</t>
  </si>
  <si>
    <t>Other Principal Arterial</t>
  </si>
  <si>
    <t>Local</t>
  </si>
  <si>
    <t>Total Fuel</t>
  </si>
  <si>
    <t>Male</t>
  </si>
  <si>
    <t>Female</t>
  </si>
  <si>
    <t>Trucks/Picks/SUVs</t>
  </si>
  <si>
    <t>Buses</t>
  </si>
  <si>
    <t>Receipts</t>
  </si>
  <si>
    <t>Disbursements</t>
  </si>
  <si>
    <t>Highway Usesr Taxes</t>
  </si>
  <si>
    <t>Tolls</t>
  </si>
  <si>
    <t>General Fund</t>
  </si>
  <si>
    <t>Property Taxes</t>
  </si>
  <si>
    <t>Other Imposts</t>
  </si>
  <si>
    <t>Misc. Receipts</t>
  </si>
  <si>
    <t>Bonds</t>
  </si>
  <si>
    <t>http://www.fhwa.dot.gov/policy/ohpi/hss/hsspubs.cfm</t>
  </si>
  <si>
    <t xml:space="preserve">For more information, see the Highway Statistics series at: </t>
  </si>
  <si>
    <t>ALASKA</t>
  </si>
  <si>
    <t>ARIZONA</t>
  </si>
  <si>
    <t>ARKANSAS</t>
  </si>
  <si>
    <t>Unknown</t>
  </si>
  <si>
    <t>Other Freeways/Expressways</t>
  </si>
  <si>
    <t>Collectors</t>
  </si>
  <si>
    <t>Diesel</t>
  </si>
  <si>
    <t>Gasoline</t>
  </si>
  <si>
    <t>Gasohol</t>
  </si>
  <si>
    <t>Autos</t>
  </si>
  <si>
    <t>Motorcycles</t>
  </si>
  <si>
    <t>Motor Fuel Usage (000)</t>
  </si>
  <si>
    <t>Highway Finance  ($000)</t>
  </si>
  <si>
    <t>Capital Outlay</t>
  </si>
  <si>
    <t>Maintenance and Services</t>
  </si>
  <si>
    <t>Administration and Misc.</t>
  </si>
  <si>
    <t>Highway Law Enforcment &amp; Safety</t>
  </si>
  <si>
    <t>Interest</t>
  </si>
  <si>
    <t>Bond Retirement</t>
  </si>
  <si>
    <t>CALIFORNIA</t>
  </si>
  <si>
    <t>COLORADO</t>
  </si>
  <si>
    <t>CONNECTICUT</t>
  </si>
  <si>
    <t>DELAWARE</t>
  </si>
  <si>
    <t>D.C.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</si>
  <si>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</si>
  <si>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</si>
  <si>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</si>
  <si>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</si>
  <si>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</si>
  <si>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</si>
  <si>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</si>
  <si>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</si>
  <si>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</si>
  <si>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</si>
  <si>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</si>
  <si>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</si>
  <si>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</si>
  <si>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</si>
  <si>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</si>
  <si>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</si>
  <si>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</si>
  <si>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</si>
  <si>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</si>
  <si>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</si>
  <si>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</si>
  <si>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</si>
  <si>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</si>
  <si>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</si>
  <si>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</si>
  <si>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</si>
  <si>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</si>
  <si>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</si>
  <si>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</si>
  <si>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</si>
  <si>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</si>
  <si>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</si>
  <si>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</si>
  <si>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</si>
  <si>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</si>
  <si>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</si>
  <si>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</si>
  <si>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</si>
  <si>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</si>
  <si>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</si>
  <si>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</si>
  <si>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</si>
  <si>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 Highway Agencies</t>
  </si>
  <si>
    <t>County</t>
  </si>
  <si>
    <t>Town/Townships</t>
  </si>
  <si>
    <t>Other Jurisdictions</t>
  </si>
  <si>
    <t>Federal</t>
  </si>
  <si>
    <t>Highway Account</t>
  </si>
  <si>
    <t>Mass Transit Account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</si>
  <si>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</si>
  <si>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</si>
  <si>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</si>
  <si>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</si>
  <si>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</si>
  <si>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</si>
  <si>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</si>
  <si>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</si>
  <si>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</si>
  <si>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</si>
  <si>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</si>
  <si>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</si>
  <si>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</si>
  <si>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</si>
  <si>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 xml:space="preserve">Iowa </t>
  </si>
  <si>
    <t>Kansas</t>
  </si>
  <si>
    <t>Kentucky</t>
  </si>
  <si>
    <t>Lousiana</t>
  </si>
  <si>
    <t xml:space="preserve">Maine 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</si>
  <si>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</si>
  <si>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</si>
  <si>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</si>
  <si>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</si>
  <si>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</si>
  <si>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</si>
  <si>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</si>
  <si>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</si>
  <si>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</si>
  <si>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Hampshare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</si>
  <si>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</si>
  <si>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</si>
  <si>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</si>
  <si>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</si>
  <si>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</si>
  <si>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</si>
  <si>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</si>
  <si>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</si>
  <si>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</si>
  <si>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</si>
  <si>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</si>
  <si>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</si>
  <si>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</si>
  <si>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</si>
  <si>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</si>
  <si>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</si>
  <si>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Washinton</t>
  </si>
  <si>
    <t>West Virginia</t>
  </si>
  <si>
    <t xml:space="preserve">Wisconsion </t>
  </si>
  <si>
    <t>Wyoming</t>
  </si>
  <si>
    <t>What is included?</t>
  </si>
  <si>
    <t>The data in these State by</t>
  </si>
  <si>
    <t>submitted data to FHWA, on:</t>
  </si>
  <si>
    <t>motor fuel use, driver</t>
  </si>
  <si>
    <t>licensing, vehicle registration,</t>
  </si>
  <si>
    <t xml:space="preserve">State and local financing, </t>
  </si>
  <si>
    <t xml:space="preserve">land area, population, and </t>
  </si>
  <si>
    <t>vehicle miles of travel.</t>
  </si>
  <si>
    <t>State Abstracts, contain State</t>
  </si>
  <si>
    <t>Clickable State Names (in lieu of map)</t>
  </si>
  <si>
    <r>
      <t xml:space="preserve">State Statistical Abstracts - </t>
    </r>
    <r>
      <rPr>
        <sz val="18"/>
        <color theme="1"/>
        <rFont val="Calibri"/>
        <family val="2"/>
        <scheme val="minor"/>
      </rPr>
      <t>2008 data</t>
    </r>
  </si>
  <si>
    <t xml:space="preserve"> </t>
  </si>
  <si>
    <t>(000)</t>
  </si>
  <si>
    <r>
      <t xml:space="preserve">Vehicle Miles Traveled by Functional System </t>
    </r>
    <r>
      <rPr>
        <b/>
        <sz val="9"/>
        <color theme="1"/>
        <rFont val="Calibri"/>
        <family val="2"/>
        <scheme val="minor"/>
      </rPr>
      <t>(In Millions)</t>
    </r>
  </si>
  <si>
    <t>Undistributed</t>
  </si>
  <si>
    <r>
      <t xml:space="preserve">Public Road Length  </t>
    </r>
    <r>
      <rPr>
        <b/>
        <sz val="9"/>
        <color theme="7" tint="-0.499984740745262"/>
        <rFont val="Calibri"/>
        <family val="2"/>
        <scheme val="minor"/>
      </rPr>
      <t>(Table HM-10)</t>
    </r>
  </si>
  <si>
    <r>
      <t xml:space="preserve">Public Road Length (Miles) by Functional System </t>
    </r>
    <r>
      <rPr>
        <b/>
        <sz val="10"/>
        <color theme="1"/>
        <rFont val="Calibri"/>
        <family val="2"/>
        <scheme val="minor"/>
      </rPr>
      <t>(HM-20)</t>
    </r>
  </si>
  <si>
    <t xml:space="preserve">State Funding for Highways (Summary - SF-21) </t>
  </si>
  <si>
    <r>
      <t xml:space="preserve">Revenues used for Highways </t>
    </r>
    <r>
      <rPr>
        <sz val="9"/>
        <color theme="1"/>
        <rFont val="Calibri"/>
        <family val="2"/>
        <scheme val="minor"/>
      </rPr>
      <t>(All Units Government -2007 - HF-1)</t>
    </r>
  </si>
  <si>
    <r>
      <t xml:space="preserve">Disbursements for Highways </t>
    </r>
    <r>
      <rPr>
        <sz val="9"/>
        <color theme="1"/>
        <rFont val="Calibri"/>
        <family val="2"/>
        <scheme val="minor"/>
      </rPr>
      <t>(All Units Government-2007 - HF-2)</t>
    </r>
  </si>
  <si>
    <r>
      <t xml:space="preserve">Total Land Area    </t>
    </r>
    <r>
      <rPr>
        <sz val="9"/>
        <color theme="1"/>
        <rFont val="Calibri"/>
        <family val="2"/>
        <scheme val="minor"/>
      </rPr>
      <t>(PS-1)</t>
    </r>
  </si>
  <si>
    <r>
      <t xml:space="preserve">Gasoline/Gasohol </t>
    </r>
    <r>
      <rPr>
        <sz val="9"/>
        <color theme="1"/>
        <rFont val="Calibri"/>
        <family val="2"/>
        <scheme val="minor"/>
      </rPr>
      <t xml:space="preserve"> (MF-33GA)</t>
    </r>
  </si>
  <si>
    <r>
      <t xml:space="preserve">Special Fuel  </t>
    </r>
    <r>
      <rPr>
        <sz val="9"/>
        <color theme="1"/>
        <rFont val="Calibri"/>
        <family val="2"/>
        <scheme val="minor"/>
      </rPr>
      <t xml:space="preserve"> (MF-33SF)</t>
    </r>
  </si>
  <si>
    <r>
      <t xml:space="preserve">Off Highway Gasoline  </t>
    </r>
    <r>
      <rPr>
        <sz val="9"/>
        <color theme="1"/>
        <rFont val="Calibri"/>
        <family val="2"/>
        <scheme val="minor"/>
      </rPr>
      <t>(MF-21)</t>
    </r>
  </si>
  <si>
    <r>
      <t xml:space="preserve">On Highway Gasoline </t>
    </r>
    <r>
      <rPr>
        <sz val="9"/>
        <color theme="1"/>
        <rFont val="Calibri"/>
        <family val="2"/>
        <scheme val="minor"/>
      </rPr>
      <t xml:space="preserve"> (MF-21)</t>
    </r>
  </si>
  <si>
    <r>
      <t xml:space="preserve">Public Road Length (Miles) by Ownerhip </t>
    </r>
    <r>
      <rPr>
        <b/>
        <sz val="9"/>
        <color theme="1"/>
        <rFont val="Calibri"/>
        <family val="2"/>
        <scheme val="minor"/>
      </rPr>
      <t>(HM-10)</t>
    </r>
  </si>
  <si>
    <r>
      <t xml:space="preserve">Functional System Lane Length </t>
    </r>
    <r>
      <rPr>
        <b/>
        <sz val="9"/>
        <color theme="1"/>
        <rFont val="Calibri"/>
        <family val="2"/>
        <scheme val="minor"/>
      </rPr>
      <t xml:space="preserve"> (HM-60)</t>
    </r>
  </si>
  <si>
    <r>
      <t xml:space="preserve">Highway Annual Vehicle Miles </t>
    </r>
    <r>
      <rPr>
        <b/>
        <sz val="10"/>
        <color theme="7" tint="-0.499984740745262"/>
        <rFont val="Calibri"/>
        <family val="2"/>
        <scheme val="minor"/>
      </rPr>
      <t>(Millions)  (VM-2)</t>
    </r>
  </si>
  <si>
    <r>
      <t xml:space="preserve">Vehicle Miles Traveled by Functional System </t>
    </r>
    <r>
      <rPr>
        <b/>
        <sz val="9"/>
        <color theme="1"/>
        <rFont val="Calibri"/>
        <family val="2"/>
        <scheme val="minor"/>
      </rPr>
      <t>(Millions- VM-2)</t>
    </r>
  </si>
  <si>
    <t xml:space="preserve">Male  </t>
  </si>
  <si>
    <t>Driver Licenses - (DL-1C)</t>
  </si>
  <si>
    <t xml:space="preserve">Gasoline   </t>
  </si>
  <si>
    <t xml:space="preserve">Diesel  </t>
  </si>
  <si>
    <t>Vehicle Registrations - (VM-1)</t>
  </si>
  <si>
    <t>Fatally Injured in Vehicle Crashes -  (FI-20)</t>
  </si>
  <si>
    <r>
      <t>Attributed Federal Trust Fund Receipts - 2008</t>
    </r>
    <r>
      <rPr>
        <b/>
        <sz val="10"/>
        <color theme="1"/>
        <rFont val="Calibri"/>
        <family val="2"/>
        <scheme val="minor"/>
      </rPr>
      <t xml:space="preserve"> ($000)  (FE-9)</t>
    </r>
  </si>
  <si>
    <t>Public Road Length  (Table HM-10)</t>
  </si>
  <si>
    <r>
      <t xml:space="preserve">Revenues used for Highways </t>
    </r>
    <r>
      <rPr>
        <sz val="9"/>
        <color theme="1"/>
        <rFont val="Calibri"/>
        <family val="2"/>
        <scheme val="minor"/>
      </rPr>
      <t>(All Units Government -2007)  (HF-1)</t>
    </r>
  </si>
  <si>
    <r>
      <t xml:space="preserve">Disbursements for Highways </t>
    </r>
    <r>
      <rPr>
        <sz val="9"/>
        <color theme="1"/>
        <rFont val="Calibri"/>
        <family val="2"/>
        <scheme val="minor"/>
      </rPr>
      <t>(All Units Government-2007) (HF-2)</t>
    </r>
  </si>
  <si>
    <r>
      <t xml:space="preserve">Public Road Length (Miles) by Functional System </t>
    </r>
    <r>
      <rPr>
        <sz val="9"/>
        <color theme="1"/>
        <rFont val="Calibri"/>
        <family val="2"/>
        <scheme val="minor"/>
      </rPr>
      <t>(HM-20)</t>
    </r>
  </si>
  <si>
    <r>
      <t xml:space="preserve">Vehicle Miles Traveled - </t>
    </r>
    <r>
      <rPr>
        <b/>
        <sz val="10"/>
        <color theme="1"/>
        <rFont val="Calibri"/>
        <family val="2"/>
        <scheme val="minor"/>
      </rPr>
      <t xml:space="preserve">(Rural/Urban in Millions))  - </t>
    </r>
    <r>
      <rPr>
        <sz val="9"/>
        <color theme="1"/>
        <rFont val="Calibri"/>
        <family val="2"/>
        <scheme val="minor"/>
      </rPr>
      <t>(VM-2)</t>
    </r>
  </si>
  <si>
    <r>
      <t xml:space="preserve">Driver Licenses  </t>
    </r>
    <r>
      <rPr>
        <sz val="9"/>
        <color theme="7" tint="-0.499984740745262"/>
        <rFont val="Calibri"/>
        <family val="2"/>
        <scheme val="minor"/>
      </rPr>
      <t>(DL-1C)</t>
    </r>
  </si>
  <si>
    <r>
      <t xml:space="preserve">Vehicle Registrations  </t>
    </r>
    <r>
      <rPr>
        <sz val="10"/>
        <color theme="7" tint="-0.499984740745262"/>
        <rFont val="Calibri"/>
        <family val="2"/>
        <scheme val="minor"/>
      </rPr>
      <t>(MV-1)</t>
    </r>
  </si>
  <si>
    <r>
      <t xml:space="preserve">Fatally Injured in Vehicle Crashes  </t>
    </r>
    <r>
      <rPr>
        <sz val="10"/>
        <color theme="7" tint="-0.499984740745262"/>
        <rFont val="Calibri"/>
        <family val="2"/>
        <scheme val="minor"/>
      </rPr>
      <t>(FI-20)</t>
    </r>
  </si>
  <si>
    <r>
      <t xml:space="preserve">State Funding for Highways (Summary) </t>
    </r>
    <r>
      <rPr>
        <sz val="10"/>
        <color theme="1"/>
        <rFont val="Calibri"/>
        <family val="2"/>
        <scheme val="minor"/>
      </rPr>
      <t>(SF-21)</t>
    </r>
  </si>
  <si>
    <r>
      <t>Attributed Federal Trust Fund Receipts - 2008</t>
    </r>
    <r>
      <rPr>
        <b/>
        <sz val="10"/>
        <color theme="1"/>
        <rFont val="Calibri"/>
        <family val="2"/>
        <scheme val="minor"/>
      </rPr>
      <t xml:space="preserve"> ($000)  </t>
    </r>
    <r>
      <rPr>
        <sz val="10"/>
        <color theme="1"/>
        <rFont val="Calibri"/>
        <family val="2"/>
        <scheme val="minor"/>
      </rPr>
      <t>(FE-9)</t>
    </r>
  </si>
  <si>
    <r>
      <t xml:space="preserve">Total Land Area                     </t>
    </r>
    <r>
      <rPr>
        <sz val="9"/>
        <color theme="1"/>
        <rFont val="Calibri"/>
        <family val="2"/>
        <scheme val="minor"/>
      </rPr>
      <t>(PS-1)</t>
    </r>
  </si>
  <si>
    <r>
      <t xml:space="preserve">Vehicle Miles Traveled - </t>
    </r>
    <r>
      <rPr>
        <b/>
        <sz val="10"/>
        <color theme="1"/>
        <rFont val="Calibri"/>
        <family val="2"/>
        <scheme val="minor"/>
      </rPr>
      <t xml:space="preserve">(Rural/Urban in Millions)  - </t>
    </r>
    <r>
      <rPr>
        <b/>
        <sz val="9"/>
        <color theme="1"/>
        <rFont val="Calibri"/>
        <family val="2"/>
        <scheme val="minor"/>
      </rPr>
      <t>(VM-2)</t>
    </r>
  </si>
  <si>
    <t>% Distribution</t>
  </si>
  <si>
    <t>Grand Total</t>
  </si>
  <si>
    <t>Distri-bution</t>
  </si>
  <si>
    <t>% of National</t>
  </si>
  <si>
    <r>
      <t xml:space="preserve">Public Road Length by Functional System </t>
    </r>
    <r>
      <rPr>
        <sz val="9"/>
        <color theme="1"/>
        <rFont val="Calibri"/>
        <family val="2"/>
        <scheme val="minor"/>
      </rPr>
      <t>(HM-20)</t>
    </r>
  </si>
  <si>
    <r>
      <t xml:space="preserve">Vehicle Miles Traveled - </t>
    </r>
    <r>
      <rPr>
        <b/>
        <sz val="10"/>
        <color theme="1"/>
        <rFont val="Calibri"/>
        <family val="2"/>
        <scheme val="minor"/>
      </rPr>
      <t xml:space="preserve">(Millions))  - </t>
    </r>
    <r>
      <rPr>
        <sz val="9"/>
        <color theme="1"/>
        <rFont val="Calibri"/>
        <family val="2"/>
        <scheme val="minor"/>
      </rPr>
      <t>(VM-2)</t>
    </r>
  </si>
  <si>
    <t>National Total</t>
  </si>
  <si>
    <t>Office of Highway Policy Information - Federal Highway Administration</t>
  </si>
  <si>
    <t>February 2011</t>
  </si>
  <si>
    <r>
      <t xml:space="preserve">Off Highway Gasoline  </t>
    </r>
    <r>
      <rPr>
        <i/>
        <sz val="9"/>
        <color theme="1"/>
        <rFont val="Calibri"/>
        <family val="2"/>
        <scheme val="minor"/>
      </rPr>
      <t>(MF-21)</t>
    </r>
  </si>
  <si>
    <r>
      <t xml:space="preserve">On Highway Gasoline </t>
    </r>
    <r>
      <rPr>
        <i/>
        <sz val="9"/>
        <color theme="1"/>
        <rFont val="Calibri"/>
        <family val="2"/>
        <scheme val="minor"/>
      </rPr>
      <t xml:space="preserve"> (MF-21)</t>
    </r>
  </si>
  <si>
    <t>----</t>
  </si>
  <si>
    <t>---</t>
  </si>
  <si>
    <r>
      <t xml:space="preserve">Motor Fuel Tax Rates </t>
    </r>
    <r>
      <rPr>
        <b/>
        <sz val="10"/>
        <color theme="7" tint="-0.499984740745262"/>
        <rFont val="Calibri"/>
        <family val="2"/>
        <scheme val="minor"/>
      </rPr>
      <t>(MF-121T)</t>
    </r>
    <r>
      <rPr>
        <b/>
        <sz val="12"/>
        <color theme="7" tint="-0.499984740745262"/>
        <rFont val="Calibri"/>
        <family val="2"/>
        <scheme val="minor"/>
      </rPr>
      <t xml:space="preserve">  - ($)</t>
    </r>
    <r>
      <rPr>
        <b/>
        <sz val="9"/>
        <color theme="7" tint="-0.499984740745262"/>
        <rFont val="Calibri"/>
        <family val="2"/>
        <scheme val="minor"/>
      </rPr>
      <t xml:space="preserve"> </t>
    </r>
  </si>
  <si>
    <r>
      <t xml:space="preserve">Total Population - </t>
    </r>
    <r>
      <rPr>
        <sz val="9"/>
        <color theme="1"/>
        <rFont val="Calibri"/>
        <family val="2"/>
        <scheme val="minor"/>
      </rPr>
      <t xml:space="preserve">  (DL-1C)</t>
    </r>
  </si>
  <si>
    <r>
      <t xml:space="preserve">Total Population   - </t>
    </r>
    <r>
      <rPr>
        <sz val="9"/>
        <color theme="1"/>
        <rFont val="Calibri"/>
        <family val="2"/>
        <scheme val="minor"/>
      </rPr>
      <t xml:space="preserve">  (DL-1C)</t>
    </r>
  </si>
  <si>
    <r>
      <t xml:space="preserve">Total Population  - </t>
    </r>
    <r>
      <rPr>
        <sz val="9"/>
        <color theme="1"/>
        <rFont val="Calibri"/>
        <family val="2"/>
        <scheme val="minor"/>
      </rPr>
      <t xml:space="preserve">  (DL-1C)</t>
    </r>
  </si>
  <si>
    <r>
      <t xml:space="preserve">Total Population (000)  - </t>
    </r>
    <r>
      <rPr>
        <sz val="9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</si>
</sst>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>
  <numFmts count="4">
    <numFmt numFmtId="164" formatCode="&quot;$&quot;#,##0"/>
    <numFmt numFmtId="165" formatCode="0.0%"/>
    <numFmt numFmtId="166" formatCode="&quot;$&quot;#,##0.00"/>
    <numFmt numFmtId="167" formatCode="&quot;$&quot;#,##0.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Black"/>
      <family val="2"/>
    </font>
    <font>
      <b/>
      <i/>
      <sz val="11"/>
      <color theme="1"/>
      <name val="Calibri"/>
      <family val="2"/>
      <scheme val="minor"/>
    </font>
    <font>
      <b/>
      <sz val="14"/>
      <color theme="7" tint="-0.499984740745262"/>
      <name val="Calibri"/>
      <family val="2"/>
      <scheme val="minor"/>
    </font>
    <font>
      <sz val="16"/>
      <color theme="3" tint="-0.499984740745262"/>
      <name val="Arial Black"/>
      <family val="2"/>
    </font>
    <font>
      <sz val="11"/>
      <color theme="3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b/>
      <sz val="10"/>
      <color theme="7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7" tint="-0.499984740745262"/>
      <name val="Calibri"/>
      <family val="2"/>
      <scheme val="minor"/>
    </font>
    <font>
      <sz val="10"/>
      <color theme="7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6"/>
      <color rgb="FFFF0000"/>
      <name val="Arial Black"/>
      <family val="2"/>
    </font>
    <font>
      <sz val="10"/>
      <color theme="1"/>
      <name val="Agency FB"/>
      <family val="2"/>
    </font>
    <font>
      <sz val="9"/>
      <color theme="1"/>
      <name val="Agency FB"/>
      <family val="2"/>
    </font>
    <font>
      <b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entaur"/>
      <family val="1"/>
    </font>
    <font>
      <sz val="9"/>
      <color theme="1"/>
      <name val="Centaur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Border="1"/>
    <xf numFmtId="0" fontId="3" fillId="0" borderId="1" xfId="0" applyFont="1" applyBorder="1"/>
    <xf numFmtId="0" fontId="1" fillId="2" borderId="0" xfId="0" applyFont="1" applyFill="1"/>
    <xf numFmtId="0" fontId="5" fillId="4" borderId="0" xfId="0" applyFont="1" applyFill="1"/>
    <xf numFmtId="0" fontId="6" fillId="4" borderId="0" xfId="0" applyFont="1" applyFill="1"/>
    <xf numFmtId="0" fontId="0" fillId="4" borderId="1" xfId="0" applyFill="1" applyBorder="1"/>
    <xf numFmtId="0" fontId="3" fillId="3" borderId="1" xfId="0" applyFont="1" applyFill="1" applyBorder="1"/>
    <xf numFmtId="0" fontId="4" fillId="2" borderId="0" xfId="0" applyFont="1" applyFill="1" applyAlignment="1">
      <alignment horizontal="left"/>
    </xf>
    <xf numFmtId="0" fontId="9" fillId="4" borderId="0" xfId="0" applyFont="1" applyFill="1"/>
    <xf numFmtId="0" fontId="9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horizontal="centerContinuous" vertical="center"/>
    </xf>
    <xf numFmtId="0" fontId="10" fillId="4" borderId="0" xfId="1" applyFill="1" applyAlignment="1" applyProtection="1">
      <alignment horizontal="centerContinuous" vertical="center"/>
    </xf>
    <xf numFmtId="0" fontId="11" fillId="4" borderId="0" xfId="1" applyFont="1" applyFill="1" applyAlignment="1" applyProtection="1"/>
    <xf numFmtId="0" fontId="5" fillId="4" borderId="0" xfId="0" applyFont="1" applyFill="1" applyAlignment="1">
      <alignment horizontal="center"/>
    </xf>
    <xf numFmtId="0" fontId="0" fillId="4" borderId="2" xfId="0" applyFill="1" applyBorder="1"/>
    <xf numFmtId="3" fontId="3" fillId="0" borderId="1" xfId="0" applyNumberFormat="1" applyFont="1" applyBorder="1"/>
    <xf numFmtId="0" fontId="0" fillId="2" borderId="1" xfId="0" applyFont="1" applyFill="1" applyBorder="1"/>
    <xf numFmtId="3" fontId="3" fillId="2" borderId="1" xfId="0" applyNumberFormat="1" applyFont="1" applyFill="1" applyBorder="1"/>
    <xf numFmtId="164" fontId="3" fillId="0" borderId="1" xfId="0" applyNumberFormat="1" applyFont="1" applyBorder="1"/>
    <xf numFmtId="0" fontId="3" fillId="3" borderId="3" xfId="0" applyFont="1" applyFill="1" applyBorder="1"/>
    <xf numFmtId="0" fontId="6" fillId="2" borderId="0" xfId="0" applyFont="1" applyFill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0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15" fillId="4" borderId="7" xfId="0" applyFont="1" applyFill="1" applyBorder="1"/>
    <xf numFmtId="0" fontId="15" fillId="4" borderId="0" xfId="0" applyFont="1" applyFill="1" applyBorder="1"/>
    <xf numFmtId="0" fontId="15" fillId="4" borderId="11" xfId="0" applyFont="1" applyFill="1" applyBorder="1"/>
    <xf numFmtId="0" fontId="15" fillId="4" borderId="3" xfId="0" applyFont="1" applyFill="1" applyBorder="1"/>
    <xf numFmtId="0" fontId="15" fillId="4" borderId="2" xfId="0" applyFont="1" applyFill="1" applyBorder="1"/>
    <xf numFmtId="0" fontId="15" fillId="4" borderId="13" xfId="0" applyFont="1" applyFill="1" applyBorder="1"/>
    <xf numFmtId="0" fontId="0" fillId="7" borderId="0" xfId="0" applyFill="1"/>
    <xf numFmtId="0" fontId="0" fillId="7" borderId="6" xfId="0" applyFill="1" applyBorder="1"/>
    <xf numFmtId="0" fontId="0" fillId="7" borderId="7" xfId="0" applyFill="1" applyBorder="1"/>
    <xf numFmtId="0" fontId="16" fillId="6" borderId="5" xfId="0" applyFont="1" applyFill="1" applyBorder="1"/>
    <xf numFmtId="0" fontId="16" fillId="6" borderId="8" xfId="0" applyFont="1" applyFill="1" applyBorder="1"/>
    <xf numFmtId="0" fontId="17" fillId="7" borderId="5" xfId="0" applyFont="1" applyFill="1" applyBorder="1"/>
    <xf numFmtId="0" fontId="18" fillId="7" borderId="0" xfId="0" applyFont="1" applyFill="1"/>
    <xf numFmtId="3" fontId="2" fillId="2" borderId="0" xfId="0" applyNumberFormat="1" applyFont="1" applyFill="1" applyAlignment="1">
      <alignment horizontal="center"/>
    </xf>
    <xf numFmtId="3" fontId="20" fillId="0" borderId="1" xfId="0" applyNumberFormat="1" applyFont="1" applyBorder="1"/>
    <xf numFmtId="0" fontId="3" fillId="3" borderId="0" xfId="0" applyFont="1" applyFill="1"/>
    <xf numFmtId="164" fontId="3" fillId="2" borderId="1" xfId="0" applyNumberFormat="1" applyFont="1" applyFill="1" applyBorder="1" applyAlignment="1">
      <alignment horizontal="right"/>
    </xf>
    <xf numFmtId="0" fontId="0" fillId="0" borderId="0" xfId="0" applyFont="1"/>
    <xf numFmtId="3" fontId="0" fillId="2" borderId="1" xfId="0" applyNumberFormat="1" applyFont="1" applyFill="1" applyBorder="1"/>
    <xf numFmtId="0" fontId="0" fillId="2" borderId="0" xfId="0" applyFont="1" applyFill="1"/>
    <xf numFmtId="3" fontId="0" fillId="0" borderId="1" xfId="0" applyNumberFormat="1" applyFont="1" applyBorder="1"/>
    <xf numFmtId="0" fontId="0" fillId="4" borderId="1" xfId="0" applyFont="1" applyFill="1" applyBorder="1"/>
    <xf numFmtId="0" fontId="0" fillId="0" borderId="1" xfId="0" applyFont="1" applyBorder="1"/>
    <xf numFmtId="0" fontId="0" fillId="2" borderId="0" xfId="0" applyFont="1" applyFill="1" applyBorder="1"/>
    <xf numFmtId="164" fontId="0" fillId="2" borderId="1" xfId="0" applyNumberFormat="1" applyFont="1" applyFill="1" applyBorder="1"/>
    <xf numFmtId="164" fontId="0" fillId="0" borderId="1" xfId="0" applyNumberFormat="1" applyFont="1" applyBorder="1"/>
    <xf numFmtId="0" fontId="0" fillId="2" borderId="0" xfId="0" applyFont="1" applyFill="1" applyAlignment="1">
      <alignment horizontal="centerContinuous"/>
    </xf>
    <xf numFmtId="164" fontId="0" fillId="5" borderId="1" xfId="0" applyNumberFormat="1" applyFont="1" applyFill="1" applyBorder="1" applyAlignment="1" applyProtection="1">
      <alignment horizontal="right" vertical="center"/>
    </xf>
    <xf numFmtId="0" fontId="0" fillId="3" borderId="1" xfId="0" applyFont="1" applyFill="1" applyBorder="1"/>
    <xf numFmtId="0" fontId="0" fillId="0" borderId="0" xfId="0" quotePrefix="1" applyFont="1" applyAlignment="1">
      <alignment horizontal="center"/>
    </xf>
    <xf numFmtId="164" fontId="0" fillId="2" borderId="0" xfId="0" applyNumberFormat="1" applyFont="1" applyFill="1"/>
    <xf numFmtId="164" fontId="0" fillId="5" borderId="4" xfId="0" applyNumberFormat="1" applyFont="1" applyFill="1" applyBorder="1" applyAlignment="1" applyProtection="1">
      <alignment horizontal="right" vertical="center"/>
    </xf>
    <xf numFmtId="3" fontId="0" fillId="2" borderId="0" xfId="0" applyNumberFormat="1" applyFont="1" applyFill="1"/>
    <xf numFmtId="0" fontId="16" fillId="0" borderId="0" xfId="0" quotePrefix="1" applyFont="1" applyAlignment="1">
      <alignment horizontal="center"/>
    </xf>
    <xf numFmtId="0" fontId="1" fillId="0" borderId="0" xfId="0" applyFont="1"/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left"/>
    </xf>
    <xf numFmtId="3" fontId="0" fillId="2" borderId="0" xfId="0" applyNumberFormat="1" applyFont="1" applyFill="1" applyBorder="1"/>
    <xf numFmtId="3" fontId="3" fillId="0" borderId="0" xfId="0" applyNumberFormat="1" applyFont="1" applyBorder="1"/>
    <xf numFmtId="165" fontId="0" fillId="2" borderId="0" xfId="0" applyNumberFormat="1" applyFont="1" applyFill="1" applyBorder="1"/>
    <xf numFmtId="165" fontId="0" fillId="2" borderId="0" xfId="0" applyNumberFormat="1" applyFont="1" applyFill="1"/>
    <xf numFmtId="165" fontId="0" fillId="2" borderId="0" xfId="0" applyNumberFormat="1" applyFill="1"/>
    <xf numFmtId="165" fontId="0" fillId="0" borderId="0" xfId="0" applyNumberFormat="1" applyFont="1"/>
    <xf numFmtId="165" fontId="0" fillId="2" borderId="0" xfId="0" applyNumberFormat="1" applyFont="1" applyFill="1" applyAlignment="1">
      <alignment horizontal="centerContinuous"/>
    </xf>
    <xf numFmtId="3" fontId="7" fillId="2" borderId="0" xfId="0" applyNumberFormat="1" applyFont="1" applyFill="1" applyAlignment="1">
      <alignment horizontal="center"/>
    </xf>
    <xf numFmtId="165" fontId="7" fillId="2" borderId="3" xfId="0" applyNumberFormat="1" applyFont="1" applyFill="1" applyBorder="1"/>
    <xf numFmtId="165" fontId="7" fillId="2" borderId="2" xfId="0" applyNumberFormat="1" applyFont="1" applyFill="1" applyBorder="1"/>
    <xf numFmtId="165" fontId="7" fillId="2" borderId="13" xfId="0" applyNumberFormat="1" applyFont="1" applyFill="1" applyBorder="1"/>
    <xf numFmtId="165" fontId="21" fillId="2" borderId="3" xfId="0" applyNumberFormat="1" applyFont="1" applyFill="1" applyBorder="1"/>
    <xf numFmtId="165" fontId="21" fillId="2" borderId="2" xfId="0" applyNumberFormat="1" applyFont="1" applyFill="1" applyBorder="1"/>
    <xf numFmtId="165" fontId="21" fillId="2" borderId="13" xfId="0" applyNumberFormat="1" applyFont="1" applyFill="1" applyBorder="1"/>
    <xf numFmtId="165" fontId="21" fillId="2" borderId="0" xfId="0" applyNumberFormat="1" applyFont="1" applyFill="1" applyBorder="1"/>
    <xf numFmtId="3" fontId="0" fillId="2" borderId="14" xfId="0" applyNumberFormat="1" applyFont="1" applyFill="1" applyBorder="1"/>
    <xf numFmtId="3" fontId="3" fillId="3" borderId="0" xfId="0" applyNumberFormat="1" applyFont="1" applyFill="1"/>
    <xf numFmtId="10" fontId="7" fillId="2" borderId="0" xfId="0" applyNumberFormat="1" applyFont="1" applyFill="1" applyBorder="1"/>
    <xf numFmtId="10" fontId="7" fillId="2" borderId="0" xfId="0" applyNumberFormat="1" applyFont="1" applyFill="1"/>
    <xf numFmtId="10" fontId="7" fillId="0" borderId="0" xfId="0" applyNumberFormat="1" applyFont="1"/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10" fontId="7" fillId="2" borderId="5" xfId="0" applyNumberFormat="1" applyFont="1" applyFill="1" applyBorder="1"/>
    <xf numFmtId="10" fontId="7" fillId="2" borderId="7" xfId="0" applyNumberFormat="1" applyFont="1" applyFill="1" applyBorder="1"/>
    <xf numFmtId="165" fontId="7" fillId="2" borderId="5" xfId="0" applyNumberFormat="1" applyFont="1" applyFill="1" applyBorder="1"/>
    <xf numFmtId="165" fontId="7" fillId="2" borderId="7" xfId="0" applyNumberFormat="1" applyFont="1" applyFill="1" applyBorder="1"/>
    <xf numFmtId="165" fontId="7" fillId="2" borderId="10" xfId="0" applyNumberFormat="1" applyFont="1" applyFill="1" applyBorder="1"/>
    <xf numFmtId="165" fontId="7" fillId="2" borderId="0" xfId="0" applyNumberFormat="1" applyFont="1" applyFill="1"/>
    <xf numFmtId="165" fontId="7" fillId="2" borderId="8" xfId="0" applyNumberFormat="1" applyFont="1" applyFill="1" applyBorder="1"/>
    <xf numFmtId="165" fontId="7" fillId="2" borderId="9" xfId="0" applyNumberFormat="1" applyFont="1" applyFill="1" applyBorder="1"/>
    <xf numFmtId="165" fontId="7" fillId="8" borderId="5" xfId="0" applyNumberFormat="1" applyFont="1" applyFill="1" applyBorder="1"/>
    <xf numFmtId="165" fontId="7" fillId="8" borderId="10" xfId="0" applyNumberFormat="1" applyFont="1" applyFill="1" applyBorder="1"/>
    <xf numFmtId="165" fontId="29" fillId="8" borderId="8" xfId="0" applyNumberFormat="1" applyFont="1" applyFill="1" applyBorder="1"/>
    <xf numFmtId="165" fontId="29" fillId="8" borderId="10" xfId="0" applyNumberFormat="1" applyFont="1" applyFill="1" applyBorder="1"/>
    <xf numFmtId="165" fontId="29" fillId="8" borderId="13" xfId="0" applyNumberFormat="1" applyFont="1" applyFill="1" applyBorder="1"/>
    <xf numFmtId="0" fontId="21" fillId="0" borderId="0" xfId="0" applyFont="1"/>
    <xf numFmtId="10" fontId="7" fillId="2" borderId="8" xfId="0" applyNumberFormat="1" applyFont="1" applyFill="1" applyBorder="1"/>
    <xf numFmtId="10" fontId="7" fillId="2" borderId="9" xfId="0" applyNumberFormat="1" applyFont="1" applyFill="1" applyBorder="1"/>
    <xf numFmtId="10" fontId="29" fillId="8" borderId="10" xfId="0" applyNumberFormat="1" applyFont="1" applyFill="1" applyBorder="1"/>
    <xf numFmtId="0" fontId="0" fillId="2" borderId="3" xfId="0" applyFont="1" applyFill="1" applyBorder="1"/>
    <xf numFmtId="0" fontId="3" fillId="3" borderId="14" xfId="0" applyFont="1" applyFill="1" applyBorder="1"/>
    <xf numFmtId="3" fontId="3" fillId="8" borderId="16" xfId="0" applyNumberFormat="1" applyFont="1" applyFill="1" applyBorder="1"/>
    <xf numFmtId="0" fontId="7" fillId="2" borderId="0" xfId="0" applyFont="1" applyFill="1" applyBorder="1" applyAlignment="1">
      <alignment horizontal="center" wrapText="1"/>
    </xf>
    <xf numFmtId="10" fontId="7" fillId="2" borderId="3" xfId="0" applyNumberFormat="1" applyFont="1" applyFill="1" applyBorder="1"/>
    <xf numFmtId="10" fontId="7" fillId="2" borderId="2" xfId="0" applyNumberFormat="1" applyFont="1" applyFill="1" applyBorder="1"/>
    <xf numFmtId="10" fontId="7" fillId="2" borderId="13" xfId="0" applyNumberFormat="1" applyFont="1" applyFill="1" applyBorder="1"/>
    <xf numFmtId="10" fontId="29" fillId="8" borderId="13" xfId="0" applyNumberFormat="1" applyFont="1" applyFill="1" applyBorder="1"/>
    <xf numFmtId="9" fontId="29" fillId="8" borderId="10" xfId="0" applyNumberFormat="1" applyFont="1" applyFill="1" applyBorder="1"/>
    <xf numFmtId="3" fontId="0" fillId="2" borderId="5" xfId="0" applyNumberFormat="1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165" fontId="29" fillId="8" borderId="2" xfId="0" applyNumberFormat="1" applyFont="1" applyFill="1" applyBorder="1"/>
    <xf numFmtId="3" fontId="0" fillId="8" borderId="5" xfId="0" applyNumberFormat="1" applyFont="1" applyFill="1" applyBorder="1"/>
    <xf numFmtId="3" fontId="0" fillId="8" borderId="10" xfId="0" applyNumberFormat="1" applyFont="1" applyFill="1" applyBorder="1"/>
    <xf numFmtId="0" fontId="7" fillId="2" borderId="5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30" fillId="4" borderId="0" xfId="0" applyFont="1" applyFill="1"/>
    <xf numFmtId="0" fontId="30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Continuous" vertical="center"/>
    </xf>
    <xf numFmtId="0" fontId="10" fillId="4" borderId="0" xfId="1" applyFont="1" applyFill="1" applyAlignment="1" applyProtection="1"/>
    <xf numFmtId="0" fontId="0" fillId="4" borderId="0" xfId="0" applyFill="1"/>
    <xf numFmtId="0" fontId="31" fillId="2" borderId="0" xfId="0" applyFont="1" applyFill="1" applyBorder="1"/>
    <xf numFmtId="17" fontId="32" fillId="0" borderId="0" xfId="0" quotePrefix="1" applyNumberFormat="1" applyFont="1"/>
    <xf numFmtId="9" fontId="29" fillId="8" borderId="14" xfId="0" applyNumberFormat="1" applyFont="1" applyFill="1" applyBorder="1"/>
    <xf numFmtId="10" fontId="33" fillId="8" borderId="15" xfId="0" applyNumberFormat="1" applyFont="1" applyFill="1" applyBorder="1"/>
    <xf numFmtId="10" fontId="7" fillId="8" borderId="2" xfId="0" applyNumberFormat="1" applyFont="1" applyFill="1" applyBorder="1"/>
    <xf numFmtId="10" fontId="29" fillId="8" borderId="1" xfId="0" applyNumberFormat="1" applyFont="1" applyFill="1" applyBorder="1"/>
    <xf numFmtId="10" fontId="7" fillId="8" borderId="1" xfId="0" applyNumberFormat="1" applyFont="1" applyFill="1" applyBorder="1"/>
    <xf numFmtId="10" fontId="29" fillId="8" borderId="14" xfId="0" applyNumberFormat="1" applyFont="1" applyFill="1" applyBorder="1"/>
    <xf numFmtId="10" fontId="33" fillId="8" borderId="1" xfId="0" applyNumberFormat="1" applyFont="1" applyFill="1" applyBorder="1"/>
    <xf numFmtId="165" fontId="33" fillId="8" borderId="2" xfId="0" applyNumberFormat="1" applyFont="1" applyFill="1" applyBorder="1"/>
    <xf numFmtId="165" fontId="29" fillId="8" borderId="14" xfId="0" applyNumberFormat="1" applyFont="1" applyFill="1" applyBorder="1"/>
    <xf numFmtId="165" fontId="33" fillId="8" borderId="1" xfId="0" applyNumberFormat="1" applyFont="1" applyFill="1" applyBorder="1"/>
    <xf numFmtId="165" fontId="29" fillId="8" borderId="1" xfId="0" applyNumberFormat="1" applyFont="1" applyFill="1" applyBorder="1"/>
    <xf numFmtId="9" fontId="29" fillId="8" borderId="1" xfId="0" applyNumberFormat="1" applyFont="1" applyFill="1" applyBorder="1"/>
    <xf numFmtId="3" fontId="0" fillId="0" borderId="3" xfId="0" applyNumberFormat="1" applyFont="1" applyBorder="1"/>
    <xf numFmtId="0" fontId="35" fillId="2" borderId="0" xfId="0" applyFont="1" applyFill="1" applyBorder="1"/>
    <xf numFmtId="0" fontId="0" fillId="4" borderId="14" xfId="0" applyFill="1" applyBorder="1"/>
    <xf numFmtId="165" fontId="21" fillId="2" borderId="7" xfId="0" applyNumberFormat="1" applyFont="1" applyFill="1" applyBorder="1"/>
    <xf numFmtId="165" fontId="21" fillId="2" borderId="9" xfId="0" applyNumberFormat="1" applyFont="1" applyFill="1" applyBorder="1"/>
    <xf numFmtId="3" fontId="0" fillId="2" borderId="3" xfId="0" applyNumberFormat="1" applyFont="1" applyFill="1" applyBorder="1"/>
    <xf numFmtId="3" fontId="0" fillId="2" borderId="13" xfId="0" applyNumberFormat="1" applyFont="1" applyFill="1" applyBorder="1"/>
    <xf numFmtId="165" fontId="21" fillId="2" borderId="12" xfId="0" applyNumberFormat="1" applyFont="1" applyFill="1" applyBorder="1"/>
    <xf numFmtId="3" fontId="3" fillId="3" borderId="2" xfId="0" applyNumberFormat="1" applyFont="1" applyFill="1" applyBorder="1"/>
    <xf numFmtId="165" fontId="28" fillId="3" borderId="13" xfId="0" applyNumberFormat="1" applyFont="1" applyFill="1" applyBorder="1"/>
    <xf numFmtId="3" fontId="3" fillId="3" borderId="13" xfId="0" applyNumberFormat="1" applyFont="1" applyFill="1" applyBorder="1"/>
    <xf numFmtId="3" fontId="3" fillId="3" borderId="1" xfId="0" applyNumberFormat="1" applyFont="1" applyFill="1" applyBorder="1"/>
    <xf numFmtId="0" fontId="0" fillId="4" borderId="8" xfId="0" applyFill="1" applyBorder="1"/>
    <xf numFmtId="3" fontId="0" fillId="2" borderId="2" xfId="0" applyNumberFormat="1" applyFont="1" applyFill="1" applyBorder="1"/>
    <xf numFmtId="165" fontId="28" fillId="3" borderId="1" xfId="0" applyNumberFormat="1" applyFont="1" applyFill="1" applyBorder="1"/>
    <xf numFmtId="9" fontId="28" fillId="3" borderId="1" xfId="0" applyNumberFormat="1" applyFont="1" applyFill="1" applyBorder="1"/>
    <xf numFmtId="165" fontId="3" fillId="3" borderId="1" xfId="0" applyNumberFormat="1" applyFont="1" applyFill="1" applyBorder="1"/>
    <xf numFmtId="165" fontId="29" fillId="3" borderId="13" xfId="0" applyNumberFormat="1" applyFont="1" applyFill="1" applyBorder="1"/>
    <xf numFmtId="3" fontId="3" fillId="3" borderId="10" xfId="0" applyNumberFormat="1" applyFont="1" applyFill="1" applyBorder="1"/>
    <xf numFmtId="0" fontId="0" fillId="4" borderId="14" xfId="0" applyFont="1" applyFill="1" applyBorder="1"/>
    <xf numFmtId="0" fontId="0" fillId="3" borderId="1" xfId="0" applyFill="1" applyBorder="1"/>
    <xf numFmtId="165" fontId="29" fillId="3" borderId="1" xfId="0" applyNumberFormat="1" applyFont="1" applyFill="1" applyBorder="1"/>
    <xf numFmtId="0" fontId="1" fillId="3" borderId="1" xfId="0" applyFont="1" applyFill="1" applyBorder="1"/>
    <xf numFmtId="164" fontId="3" fillId="3" borderId="1" xfId="0" applyNumberFormat="1" applyFont="1" applyFill="1" applyBorder="1"/>
    <xf numFmtId="164" fontId="0" fillId="2" borderId="3" xfId="0" applyNumberFormat="1" applyFont="1" applyFill="1" applyBorder="1"/>
    <xf numFmtId="164" fontId="0" fillId="2" borderId="2" xfId="0" applyNumberFormat="1" applyFont="1" applyFill="1" applyBorder="1"/>
    <xf numFmtId="164" fontId="0" fillId="2" borderId="13" xfId="0" applyNumberFormat="1" applyFont="1" applyFill="1" applyBorder="1"/>
    <xf numFmtId="164" fontId="0" fillId="0" borderId="2" xfId="0" applyNumberFormat="1" applyFont="1" applyBorder="1"/>
    <xf numFmtId="3" fontId="3" fillId="2" borderId="0" xfId="0" applyNumberFormat="1" applyFont="1" applyFill="1" applyBorder="1"/>
    <xf numFmtId="17" fontId="36" fillId="2" borderId="0" xfId="0" quotePrefix="1" applyNumberFormat="1" applyFont="1" applyFill="1"/>
    <xf numFmtId="165" fontId="7" fillId="2" borderId="6" xfId="0" applyNumberFormat="1" applyFont="1" applyFill="1" applyBorder="1"/>
    <xf numFmtId="165" fontId="7" fillId="2" borderId="0" xfId="0" applyNumberFormat="1" applyFont="1" applyFill="1" applyBorder="1"/>
    <xf numFmtId="165" fontId="29" fillId="3" borderId="14" xfId="0" applyNumberFormat="1" applyFont="1" applyFill="1" applyBorder="1"/>
    <xf numFmtId="165" fontId="33" fillId="3" borderId="1" xfId="0" applyNumberFormat="1" applyFont="1" applyFill="1" applyBorder="1"/>
    <xf numFmtId="165" fontId="29" fillId="3" borderId="10" xfId="0" applyNumberFormat="1" applyFont="1" applyFill="1" applyBorder="1"/>
    <xf numFmtId="165" fontId="33" fillId="3" borderId="2" xfId="0" applyNumberFormat="1" applyFont="1" applyFill="1" applyBorder="1"/>
    <xf numFmtId="165" fontId="7" fillId="3" borderId="1" xfId="0" applyNumberFormat="1" applyFont="1" applyFill="1" applyBorder="1"/>
    <xf numFmtId="0" fontId="0" fillId="2" borderId="13" xfId="0" applyFont="1" applyFill="1" applyBorder="1"/>
    <xf numFmtId="10" fontId="29" fillId="3" borderId="14" xfId="0" applyNumberFormat="1" applyFont="1" applyFill="1" applyBorder="1"/>
    <xf numFmtId="10" fontId="7" fillId="3" borderId="1" xfId="0" applyNumberFormat="1" applyFont="1" applyFill="1" applyBorder="1"/>
    <xf numFmtId="3" fontId="3" fillId="3" borderId="16" xfId="0" applyNumberFormat="1" applyFont="1" applyFill="1" applyBorder="1"/>
    <xf numFmtId="10" fontId="29" fillId="3" borderId="10" xfId="0" applyNumberFormat="1" applyFont="1" applyFill="1" applyBorder="1"/>
    <xf numFmtId="10" fontId="29" fillId="3" borderId="9" xfId="0" applyNumberFormat="1" applyFont="1" applyFill="1" applyBorder="1"/>
    <xf numFmtId="164" fontId="1" fillId="3" borderId="10" xfId="0" applyNumberFormat="1" applyFont="1" applyFill="1" applyBorder="1"/>
    <xf numFmtId="10" fontId="29" fillId="3" borderId="1" xfId="0" applyNumberFormat="1" applyFont="1" applyFill="1" applyBorder="1"/>
    <xf numFmtId="10" fontId="7" fillId="2" borderId="6" xfId="0" applyNumberFormat="1" applyFont="1" applyFill="1" applyBorder="1"/>
    <xf numFmtId="164" fontId="3" fillId="3" borderId="10" xfId="0" applyNumberFormat="1" applyFont="1" applyFill="1" applyBorder="1"/>
    <xf numFmtId="164" fontId="3" fillId="3" borderId="14" xfId="0" applyNumberFormat="1" applyFont="1" applyFill="1" applyBorder="1"/>
    <xf numFmtId="10" fontId="29" fillId="3" borderId="13" xfId="0" applyNumberFormat="1" applyFont="1" applyFill="1" applyBorder="1"/>
    <xf numFmtId="164" fontId="0" fillId="5" borderId="3" xfId="0" applyNumberFormat="1" applyFont="1" applyFill="1" applyBorder="1" applyAlignment="1" applyProtection="1">
      <alignment horizontal="right" vertical="center"/>
    </xf>
    <xf numFmtId="164" fontId="0" fillId="5" borderId="13" xfId="0" applyNumberFormat="1" applyFont="1" applyFill="1" applyBorder="1" applyAlignment="1" applyProtection="1">
      <alignment vertical="center"/>
    </xf>
    <xf numFmtId="3" fontId="0" fillId="2" borderId="3" xfId="0" applyNumberFormat="1" applyFill="1" applyBorder="1"/>
    <xf numFmtId="3" fontId="0" fillId="2" borderId="13" xfId="0" applyNumberFormat="1" applyFill="1" applyBorder="1"/>
    <xf numFmtId="0" fontId="3" fillId="8" borderId="10" xfId="0" applyFont="1" applyFill="1" applyBorder="1"/>
    <xf numFmtId="0" fontId="0" fillId="2" borderId="2" xfId="0" applyFont="1" applyFill="1" applyBorder="1"/>
    <xf numFmtId="17" fontId="32" fillId="2" borderId="0" xfId="0" quotePrefix="1" applyNumberFormat="1" applyFont="1" applyFill="1"/>
    <xf numFmtId="166" fontId="0" fillId="2" borderId="3" xfId="0" applyNumberFormat="1" applyFont="1" applyFill="1" applyBorder="1"/>
    <xf numFmtId="166" fontId="0" fillId="2" borderId="2" xfId="0" applyNumberFormat="1" applyFont="1" applyFill="1" applyBorder="1"/>
    <xf numFmtId="166" fontId="0" fillId="2" borderId="13" xfId="0" applyNumberFormat="1" applyFont="1" applyFill="1" applyBorder="1"/>
    <xf numFmtId="167" fontId="0" fillId="2" borderId="3" xfId="0" applyNumberFormat="1" applyFill="1" applyBorder="1"/>
    <xf numFmtId="167" fontId="0" fillId="2" borderId="2" xfId="0" applyNumberFormat="1" applyFill="1" applyBorder="1"/>
    <xf numFmtId="167" fontId="0" fillId="2" borderId="13" xfId="0" applyNumberFormat="1" applyFont="1" applyFill="1" applyBorder="1"/>
    <xf numFmtId="167" fontId="0" fillId="2" borderId="3" xfId="0" applyNumberFormat="1" applyFont="1" applyFill="1" applyBorder="1"/>
    <xf numFmtId="167" fontId="0" fillId="2" borderId="2" xfId="0" applyNumberFormat="1" applyFont="1" applyFill="1" applyBorder="1"/>
    <xf numFmtId="167" fontId="0" fillId="0" borderId="1" xfId="0" applyNumberFormat="1" applyFont="1" applyBorder="1"/>
    <xf numFmtId="167" fontId="0" fillId="2" borderId="13" xfId="0" quotePrefix="1" applyNumberFormat="1" applyFill="1" applyBorder="1" applyAlignment="1">
      <alignment horizontal="center"/>
    </xf>
    <xf numFmtId="0" fontId="0" fillId="2" borderId="13" xfId="0" quotePrefix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2</xdr:row>
      <xdr:rowOff>114300</xdr:rowOff>
    </xdr:from>
    <xdr:to>
      <xdr:col>3</xdr:col>
      <xdr:colOff>457200</xdr:colOff>
      <xdr:row>6</xdr:row>
      <xdr:rowOff>0</xdr:rowOff>
    </xdr:to>
    <xdr:pic>
      <xdr:nvPicPr>
        <xdr:cNvPr id="2" name="Picture 1" descr="computer3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0" y="628650"/>
          <a:ext cx="70485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35</xdr:row>
      <xdr:rowOff>57150</xdr:rowOff>
    </xdr:from>
    <xdr:to>
      <xdr:col>6</xdr:col>
      <xdr:colOff>118241</xdr:colOff>
      <xdr:row>40</xdr:row>
      <xdr:rowOff>18895</xdr:rowOff>
    </xdr:to>
    <xdr:pic>
      <xdr:nvPicPr>
        <xdr:cNvPr id="4" name="Picture 3" descr="USDOT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34100" y="6829425"/>
          <a:ext cx="956441" cy="914245"/>
        </a:xfrm>
        <a:prstGeom prst="rect">
          <a:avLst/>
        </a:prstGeom>
      </xdr:spPr>
    </xdr:pic>
    <xdr:clientData/>
  </xdr:twoCellAnchor>
  <xdr:twoCellAnchor editAs="oneCell">
    <xdr:from>
      <xdr:col>0</xdr:col>
      <xdr:colOff>400049</xdr:colOff>
      <xdr:row>1</xdr:row>
      <xdr:rowOff>123825</xdr:rowOff>
    </xdr:from>
    <xdr:to>
      <xdr:col>5</xdr:col>
      <xdr:colOff>504824</xdr:colOff>
      <xdr:row>22</xdr:row>
      <xdr:rowOff>175906</xdr:rowOff>
    </xdr:to>
    <xdr:pic>
      <xdr:nvPicPr>
        <xdr:cNvPr id="5" name="Picture 4" descr="USMap2_linkable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49" y="419100"/>
          <a:ext cx="6467475" cy="4052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hwa.dot.gov/policy/ohpi/hss/hsspubs.cf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fhwa.dot.gov/policy/ohpi/hss/hsspubs.cf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fhwa.dot.gov/policy/ohpi/hss/hsspubs.cf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fhwa.dot.gov/policy/ohpi/hss/hsspubs.cf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fhwa.dot.gov/policy/ohpi/hss/hsspubs.cfm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fhwa.dot.gov/policy/ohpi/hss/hsspubs.cfm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fhwa.dot.gov/policy/ohpi/hss/hsspubs.cfm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fhwa.dot.gov/policy/ohpi/hss/hsspubs.cfm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fhwa.dot.gov/policy/ohpi/hss/hsspubs.cfm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fhwa.dot.gov/policy/ohpi/hss/hsspubs.cfm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fhwa.dot.gov/policy/ohpi/hss/hsspubs.cf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hwa.dot.gov/policy/ohpi/hss/hsspubs.cfm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fhwa.dot.gov/policy/ohpi/hss/hsspubs.cfm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fhwa.dot.gov/policy/ohpi/hss/hsspubs.cfm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fhwa.dot.gov/policy/ohpi/hss/hsspubs.cfm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fhwa.dot.gov/policy/ohpi/hss/hsspubs.cfm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fhwa.dot.gov/policy/ohpi/hss/hsspubs.cfm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fhwa.dot.gov/policy/ohpi/hss/hsspubs.cfm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www.fhwa.dot.gov/policy/ohpi/hss/hsspubs.cfm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www.fhwa.dot.gov/policy/ohpi/hss/hsspubs.cfm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www.fhwa.dot.gov/policy/ohpi/hss/hsspubs.cfm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www.fhwa.dot.gov/policy/ohpi/hss/hsspubs.cf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hwa.dot.gov/policy/ohpi/hss/hsspubs.cfm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www.fhwa.dot.gov/policy/ohpi/hss/hsspubs.cfm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://www.fhwa.dot.gov/policy/ohpi/hss/hsspubs.cfm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://www.fhwa.dot.gov/policy/ohpi/hss/hsspubs.cfm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http://www.fhwa.dot.gov/policy/ohpi/hss/hsspubs.cfm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http://www.fhwa.dot.gov/policy/ohpi/hss/hsspubs.cfm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://www.fhwa.dot.gov/policy/ohpi/hss/hsspubs.cfm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hyperlink" Target="http://www.fhwa.dot.gov/policy/ohpi/hss/hsspubs.cfm" TargetMode="Externa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hyperlink" Target="http://www.fhwa.dot.gov/policy/ohpi/hss/hsspubs.cfm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hyperlink" Target="http://www.fhwa.dot.gov/policy/ohpi/hss/hsspubs.cfm" TargetMode="Externa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hyperlink" Target="http://www.fhwa.dot.gov/policy/ohpi/hss/hsspubs.cf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fhwa.dot.gov/policy/ohpi/hss/hsspubs.cfm" TargetMode="Externa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hyperlink" Target="http://www.fhwa.dot.gov/policy/ohpi/hss/hsspubs.cfm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hyperlink" Target="http://www.fhwa.dot.gov/policy/ohpi/hss/hsspubs.cfm" TargetMode="Externa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hyperlink" Target="http://www.fhwa.dot.gov/policy/ohpi/hss/hsspubs.cfm" TargetMode="Externa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3.bin"/><Relationship Id="rId1" Type="http://schemas.openxmlformats.org/officeDocument/2006/relationships/hyperlink" Target="http://www.fhwa.dot.gov/policy/ohpi/hss/hsspubs.cfm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hyperlink" Target="http://www.fhwa.dot.gov/policy/ohpi/hss/hsspubs.cfm" TargetMode="Externa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5.bin"/><Relationship Id="rId1" Type="http://schemas.openxmlformats.org/officeDocument/2006/relationships/hyperlink" Target="http://www.fhwa.dot.gov/policy/ohpi/hss/hsspubs.cfm" TargetMode="Externa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6.bin"/><Relationship Id="rId1" Type="http://schemas.openxmlformats.org/officeDocument/2006/relationships/hyperlink" Target="http://www.fhwa.dot.gov/policy/ohpi/hss/hsspubs.cfm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7.bin"/><Relationship Id="rId1" Type="http://schemas.openxmlformats.org/officeDocument/2006/relationships/hyperlink" Target="http://www.fhwa.dot.gov/policy/ohpi/hss/hsspubs.cfm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8.bin"/><Relationship Id="rId1" Type="http://schemas.openxmlformats.org/officeDocument/2006/relationships/hyperlink" Target="http://www.fhwa.dot.gov/policy/ohpi/hss/hsspubs.cfm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9.bin"/><Relationship Id="rId1" Type="http://schemas.openxmlformats.org/officeDocument/2006/relationships/hyperlink" Target="http://www.fhwa.dot.gov/policy/ohpi/hss/hsspubs.cf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fhwa.dot.gov/policy/ohpi/hss/hsspubs.cfm" TargetMode="Externa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0.bin"/><Relationship Id="rId1" Type="http://schemas.openxmlformats.org/officeDocument/2006/relationships/hyperlink" Target="http://www.fhwa.dot.gov/policy/ohpi/hss/hsspubs.cfm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1.bin"/><Relationship Id="rId1" Type="http://schemas.openxmlformats.org/officeDocument/2006/relationships/hyperlink" Target="http://www.fhwa.dot.gov/policy/ohpi/hss/hsspubs.cfm" TargetMode="Externa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2.bin"/><Relationship Id="rId1" Type="http://schemas.openxmlformats.org/officeDocument/2006/relationships/hyperlink" Target="http://www.fhwa.dot.gov/policy/ohpi/hss/hsspubs.cfm" TargetMode="Externa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fhwa.dot.gov/policy/ohpi/hss/hsspubs.cf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fhwa.dot.gov/policy/ohpi/hss/hsspubs.cf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fhwa.dot.gov/policy/ohpi/hss/hsspubs.cf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fhwa.dot.gov/policy/ohpi/hss/hsspubs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workbookViewId="0">
      <selection activeCell="G52" sqref="G52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10" ht="24.75">
      <c r="A1" s="125" t="s">
        <v>201</v>
      </c>
      <c r="B1" s="126">
        <v>2008</v>
      </c>
      <c r="C1" s="16"/>
      <c r="D1" s="16"/>
      <c r="E1" s="7"/>
      <c r="F1" s="11"/>
      <c r="G1" s="7"/>
      <c r="H1" s="129"/>
      <c r="I1" s="1"/>
      <c r="J1" s="1"/>
    </row>
    <row r="2" spans="1:10" ht="15.75">
      <c r="A2" s="127" t="s">
        <v>24</v>
      </c>
      <c r="B2" s="13"/>
      <c r="C2" s="13"/>
      <c r="D2" s="13"/>
      <c r="E2" s="14"/>
      <c r="F2" s="128" t="s">
        <v>23</v>
      </c>
      <c r="G2" s="7"/>
      <c r="H2" s="129"/>
      <c r="I2" s="1"/>
      <c r="J2" s="1"/>
    </row>
    <row r="3" spans="1:10" ht="19.5">
      <c r="A3" s="67" t="s">
        <v>4</v>
      </c>
      <c r="B3" s="45"/>
      <c r="C3" s="76"/>
      <c r="D3" s="45"/>
      <c r="E3" s="1"/>
      <c r="F3" s="67" t="s">
        <v>177</v>
      </c>
      <c r="G3" s="1"/>
      <c r="H3" s="76" t="s">
        <v>195</v>
      </c>
      <c r="I3" s="1"/>
      <c r="J3" s="1"/>
    </row>
    <row r="4" spans="1:10">
      <c r="A4" s="8" t="s">
        <v>209</v>
      </c>
      <c r="B4" s="50">
        <f>SUM(AL:WY!B4)</f>
        <v>304059724</v>
      </c>
      <c r="C4" s="71"/>
      <c r="D4" s="69"/>
      <c r="E4" s="1"/>
      <c r="F4" s="146" t="s">
        <v>176</v>
      </c>
      <c r="G4" s="149">
        <f>SUM(AL:WY!G4)</f>
        <v>103618162</v>
      </c>
      <c r="H4" s="147">
        <f>G4/G$6</f>
        <v>0.49739757615234609</v>
      </c>
      <c r="I4" s="1"/>
      <c r="J4" s="1"/>
    </row>
    <row r="5" spans="1:10">
      <c r="A5" s="8" t="s">
        <v>193</v>
      </c>
      <c r="B5" s="50">
        <f>SUM(AL:WY!B5)</f>
        <v>3537441</v>
      </c>
      <c r="C5" s="71"/>
      <c r="D5" s="69"/>
      <c r="E5" s="1"/>
      <c r="F5" s="146" t="s">
        <v>11</v>
      </c>
      <c r="G5" s="157">
        <f>SUM(AL:WY!G5)</f>
        <v>104702439</v>
      </c>
      <c r="H5" s="148">
        <f>G5/G$6</f>
        <v>0.50260242384765397</v>
      </c>
      <c r="I5" s="1"/>
      <c r="J5" s="1"/>
    </row>
    <row r="6" spans="1:10">
      <c r="A6" s="1"/>
      <c r="B6" s="51"/>
      <c r="C6" s="72"/>
      <c r="D6" s="51"/>
      <c r="E6" s="1"/>
      <c r="F6" s="9" t="s">
        <v>1</v>
      </c>
      <c r="G6" s="155">
        <f>SUM(G4:G5)</f>
        <v>208320601</v>
      </c>
      <c r="H6" s="160">
        <f>SUM(H4:H5)</f>
        <v>1</v>
      </c>
      <c r="I6" s="1"/>
      <c r="J6" s="1"/>
    </row>
    <row r="7" spans="1:10" ht="15.75">
      <c r="A7" s="67" t="s">
        <v>36</v>
      </c>
      <c r="B7" s="51"/>
      <c r="C7" s="76" t="s">
        <v>195</v>
      </c>
      <c r="D7" s="51"/>
      <c r="E7" s="1"/>
      <c r="F7" s="67" t="s">
        <v>208</v>
      </c>
      <c r="G7" s="65"/>
      <c r="H7" s="1"/>
      <c r="I7" s="1"/>
      <c r="J7" s="1"/>
    </row>
    <row r="8" spans="1:10">
      <c r="A8" s="146" t="s">
        <v>168</v>
      </c>
      <c r="B8" s="149">
        <f>SUM(AL:WY!B8)</f>
        <v>136606127</v>
      </c>
      <c r="C8" s="147">
        <f>B8/B10</f>
        <v>0.77986425878220211</v>
      </c>
      <c r="D8" s="69"/>
      <c r="E8" s="1"/>
      <c r="F8" s="146" t="s">
        <v>178</v>
      </c>
      <c r="G8" s="203">
        <f>24.8/100</f>
        <v>0.248</v>
      </c>
      <c r="H8" s="1"/>
      <c r="I8" s="1"/>
      <c r="J8" s="1"/>
    </row>
    <row r="9" spans="1:10">
      <c r="A9" s="146" t="s">
        <v>169</v>
      </c>
      <c r="B9" s="150">
        <f>SUM(AL:WY!B9)</f>
        <v>38560417</v>
      </c>
      <c r="C9" s="148">
        <f>B9/B10</f>
        <v>0.22013574121779786</v>
      </c>
      <c r="D9" s="69"/>
      <c r="E9" s="1"/>
      <c r="F9" s="146" t="s">
        <v>179</v>
      </c>
      <c r="G9" s="204">
        <f>20.8/100</f>
        <v>0.20800000000000002</v>
      </c>
      <c r="H9" s="1"/>
      <c r="I9" s="1"/>
      <c r="J9" s="1"/>
    </row>
    <row r="10" spans="1:10">
      <c r="A10" s="9" t="s">
        <v>9</v>
      </c>
      <c r="B10" s="152">
        <f>SUM(B8:B9)</f>
        <v>175166544</v>
      </c>
      <c r="C10" s="153">
        <f>SUM(C8:C9)</f>
        <v>1</v>
      </c>
      <c r="D10" s="70"/>
      <c r="E10" s="1"/>
      <c r="F10" s="146" t="s">
        <v>33</v>
      </c>
      <c r="G10" s="205">
        <f>26.9/100</f>
        <v>0.26899999999999996</v>
      </c>
      <c r="H10" s="1"/>
      <c r="I10" s="1"/>
      <c r="J10" s="1"/>
    </row>
    <row r="11" spans="1:10">
      <c r="A11" s="146" t="s">
        <v>170</v>
      </c>
      <c r="B11" s="149">
        <f>SUM(AL:WY!B11)</f>
        <v>3771396</v>
      </c>
      <c r="C11" s="147">
        <f>B11/(B12+B11)</f>
        <v>2.773568996393062E-2</v>
      </c>
      <c r="D11" s="69"/>
      <c r="E11" s="1"/>
      <c r="G11" s="49"/>
      <c r="H11" s="1"/>
      <c r="I11" s="1"/>
      <c r="J11" s="1"/>
    </row>
    <row r="12" spans="1:10" ht="15.75">
      <c r="A12" s="146" t="s">
        <v>171</v>
      </c>
      <c r="B12" s="150">
        <f>SUM(AL:WY!B12)</f>
        <v>132204886</v>
      </c>
      <c r="C12" s="151">
        <f>B12/(B11+B12)</f>
        <v>0.97226431003606939</v>
      </c>
      <c r="D12" s="69"/>
      <c r="E12" s="1"/>
      <c r="F12" s="67" t="s">
        <v>180</v>
      </c>
      <c r="G12" s="51"/>
      <c r="H12" s="76" t="s">
        <v>195</v>
      </c>
      <c r="I12" s="1"/>
      <c r="J12" s="1"/>
    </row>
    <row r="13" spans="1:10">
      <c r="A13" s="1"/>
      <c r="B13" s="64"/>
      <c r="C13" s="72"/>
      <c r="D13" s="64"/>
      <c r="E13" s="1"/>
      <c r="F13" s="146" t="s">
        <v>34</v>
      </c>
      <c r="G13" s="149">
        <f>SUM(AL:WY!G13)</f>
        <v>137079843</v>
      </c>
      <c r="H13" s="147">
        <f>G13/G$18</f>
        <v>0.53573767555131113</v>
      </c>
      <c r="I13" s="1"/>
      <c r="J13" s="1"/>
    </row>
    <row r="14" spans="1:10" ht="15.75">
      <c r="A14" s="67" t="s">
        <v>183</v>
      </c>
      <c r="B14" s="51"/>
      <c r="C14" s="76" t="s">
        <v>195</v>
      </c>
      <c r="D14" s="51"/>
      <c r="E14" s="1"/>
      <c r="F14" s="146" t="s">
        <v>12</v>
      </c>
      <c r="G14" s="157">
        <f>SUM(AL:WY!G14)</f>
        <v>110241587</v>
      </c>
      <c r="H14" s="148">
        <f>G14/G$18</f>
        <v>0.43084796623576266</v>
      </c>
      <c r="I14" s="1"/>
      <c r="J14" s="1"/>
    </row>
    <row r="15" spans="1:10">
      <c r="A15" s="146" t="s">
        <v>3</v>
      </c>
      <c r="B15" s="149">
        <f>SUM(AL:WY!B15)</f>
        <v>2977228</v>
      </c>
      <c r="C15" s="147">
        <f>B15/B$17</f>
        <v>0.73643305774657364</v>
      </c>
      <c r="D15" s="69"/>
      <c r="E15" s="3"/>
      <c r="F15" s="146" t="s">
        <v>13</v>
      </c>
      <c r="G15" s="150">
        <f>SUM(AL:WY!G15)</f>
        <v>843308</v>
      </c>
      <c r="H15" s="148">
        <f>G15/G$18</f>
        <v>3.2958300637521529E-3</v>
      </c>
      <c r="I15" s="1"/>
      <c r="J15" s="1"/>
    </row>
    <row r="16" spans="1:10">
      <c r="A16" s="146" t="s">
        <v>2</v>
      </c>
      <c r="B16" s="150">
        <f>SUM(AL:WY!B16)</f>
        <v>1065540</v>
      </c>
      <c r="C16" s="148">
        <f>B16/B$17</f>
        <v>0.26356694225342636</v>
      </c>
      <c r="D16" s="69"/>
      <c r="E16" s="1"/>
      <c r="F16" s="9" t="s">
        <v>1</v>
      </c>
      <c r="G16" s="162">
        <f>SUM(G13:G15)</f>
        <v>248164738</v>
      </c>
      <c r="H16" s="164"/>
      <c r="I16" s="1"/>
      <c r="J16" s="1"/>
    </row>
    <row r="17" spans="1:10">
      <c r="A17" s="9" t="s">
        <v>1</v>
      </c>
      <c r="B17" s="154">
        <f>SUM(B15:B16)</f>
        <v>4042768</v>
      </c>
      <c r="C17" s="153">
        <f>SUM(C15:C16)</f>
        <v>1</v>
      </c>
      <c r="D17" s="70"/>
      <c r="E17" s="1"/>
      <c r="F17" s="19" t="s">
        <v>35</v>
      </c>
      <c r="G17" s="84">
        <f>SUM(AL:WY!G17)</f>
        <v>7706464</v>
      </c>
      <c r="H17" s="81">
        <f>G17/G$18</f>
        <v>3.0118528149174054E-2</v>
      </c>
      <c r="I17" s="1"/>
      <c r="J17" s="1"/>
    </row>
    <row r="18" spans="1:10">
      <c r="A18" s="1"/>
      <c r="B18" s="1"/>
      <c r="C18" s="73"/>
      <c r="D18" s="1"/>
      <c r="E18" s="1"/>
      <c r="F18" s="166" t="s">
        <v>196</v>
      </c>
      <c r="G18" s="85">
        <f>SUM(G16:G17)</f>
        <v>255871202</v>
      </c>
      <c r="H18" s="165">
        <f>SUM(H13:H17)</f>
        <v>0.99999999999999989</v>
      </c>
      <c r="I18" s="1"/>
      <c r="J18" s="1"/>
    </row>
    <row r="19" spans="1:10" ht="15.75">
      <c r="A19" s="5" t="s">
        <v>163</v>
      </c>
      <c r="B19" s="1"/>
      <c r="C19" s="76"/>
      <c r="D19" s="1"/>
      <c r="E19" s="1"/>
      <c r="F19" s="67" t="s">
        <v>181</v>
      </c>
      <c r="G19" s="51"/>
      <c r="H19" s="76" t="s">
        <v>195</v>
      </c>
      <c r="I19" s="1"/>
      <c r="J19" s="1"/>
    </row>
    <row r="20" spans="1:10">
      <c r="A20" s="146" t="s">
        <v>5</v>
      </c>
      <c r="B20" s="149">
        <f>SUM(AL:WY!B20)</f>
        <v>46751</v>
      </c>
      <c r="C20" s="147">
        <f>B20/B$26</f>
        <v>1.1564077968169412E-2</v>
      </c>
      <c r="D20" s="69"/>
      <c r="E20" s="51"/>
      <c r="F20" s="163" t="s">
        <v>3</v>
      </c>
      <c r="G20" s="149">
        <f>SUM(AL:WY!G20)</f>
        <v>20807</v>
      </c>
      <c r="H20" s="147">
        <f>G20/G$23</f>
        <v>0.55841228093717288</v>
      </c>
      <c r="I20" s="1"/>
      <c r="J20" s="1"/>
    </row>
    <row r="21" spans="1:10">
      <c r="A21" s="146" t="s">
        <v>7</v>
      </c>
      <c r="B21" s="157">
        <f>SUM(AL:WY!B21)</f>
        <v>159506</v>
      </c>
      <c r="C21" s="148">
        <f t="shared" ref="C21:C25" si="0">B21/B$26</f>
        <v>3.9454553279947603E-2</v>
      </c>
      <c r="D21" s="69"/>
      <c r="E21" s="51"/>
      <c r="F21" s="163" t="s">
        <v>2</v>
      </c>
      <c r="G21" s="157">
        <f>SUM(AL:WY!G21)</f>
        <v>15956</v>
      </c>
      <c r="H21" s="80">
        <f t="shared" ref="H21:H22" si="1">G21/G$23</f>
        <v>0.4282225383108344</v>
      </c>
      <c r="I21" s="1"/>
      <c r="J21" s="1"/>
    </row>
    <row r="22" spans="1:10">
      <c r="A22" s="146" t="s">
        <v>6</v>
      </c>
      <c r="B22" s="157">
        <f>SUM(AL:WY!B22)</f>
        <v>241195</v>
      </c>
      <c r="C22" s="148">
        <f t="shared" si="0"/>
        <v>5.9660708552386504E-2</v>
      </c>
      <c r="D22" s="69"/>
      <c r="E22" s="51"/>
      <c r="F22" s="163" t="s">
        <v>28</v>
      </c>
      <c r="G22" s="150">
        <f>SUM(AL:WY!G22)</f>
        <v>498</v>
      </c>
      <c r="H22" s="82">
        <f t="shared" si="1"/>
        <v>1.33651807519927E-2</v>
      </c>
      <c r="I22" s="1"/>
      <c r="J22" s="1"/>
    </row>
    <row r="23" spans="1:10">
      <c r="A23" s="146" t="s">
        <v>30</v>
      </c>
      <c r="B23" s="157">
        <f>SUM(AL:WY!B23)</f>
        <v>794687</v>
      </c>
      <c r="C23" s="148">
        <f t="shared" si="0"/>
        <v>0.19656953708563765</v>
      </c>
      <c r="D23" s="69"/>
      <c r="E23" s="51"/>
      <c r="F23" s="9" t="s">
        <v>1</v>
      </c>
      <c r="G23" s="154">
        <f>SUM(G20:G22)</f>
        <v>37261</v>
      </c>
      <c r="H23" s="161">
        <f>SUM(H20:H22)</f>
        <v>0.99999999999999989</v>
      </c>
      <c r="I23" s="1"/>
      <c r="J23" s="1"/>
    </row>
    <row r="24" spans="1:10">
      <c r="A24" s="146" t="s">
        <v>8</v>
      </c>
      <c r="B24" s="157">
        <f>SUM(AL:WY!B24)</f>
        <v>2789304</v>
      </c>
      <c r="C24" s="148">
        <f t="shared" si="0"/>
        <v>0.689947357980082</v>
      </c>
      <c r="D24" s="69"/>
      <c r="E24" s="51"/>
      <c r="F24" s="51"/>
      <c r="G24" s="51"/>
      <c r="I24" s="1"/>
      <c r="J24" s="1"/>
    </row>
    <row r="25" spans="1:10" ht="15.75">
      <c r="A25" s="156" t="s">
        <v>29</v>
      </c>
      <c r="B25" s="150">
        <f>SUM(AL:WY!B25)</f>
        <v>11335</v>
      </c>
      <c r="C25" s="148">
        <f t="shared" si="0"/>
        <v>2.8037651337768235E-3</v>
      </c>
      <c r="D25" s="69"/>
      <c r="E25" s="51"/>
      <c r="F25" s="68" t="s">
        <v>37</v>
      </c>
      <c r="G25" s="51"/>
      <c r="I25" s="1"/>
      <c r="J25" s="1"/>
    </row>
    <row r="26" spans="1:10">
      <c r="A26" s="9" t="s">
        <v>1</v>
      </c>
      <c r="B26" s="154">
        <f>SUM(B20:B25)</f>
        <v>4042778</v>
      </c>
      <c r="C26" s="153">
        <f>SUM(C20:C25)</f>
        <v>0.99999999999999989</v>
      </c>
      <c r="D26" s="70"/>
      <c r="E26" s="51"/>
      <c r="F26" s="5" t="s">
        <v>164</v>
      </c>
      <c r="G26" s="55"/>
      <c r="H26" s="76"/>
      <c r="I26" s="1"/>
      <c r="J26" s="1"/>
    </row>
    <row r="27" spans="1:10">
      <c r="B27" s="49"/>
      <c r="C27" s="72"/>
      <c r="D27" s="51"/>
      <c r="E27" s="51"/>
      <c r="F27" s="53" t="s">
        <v>14</v>
      </c>
      <c r="G27" s="56">
        <f>SUM(AL:WY!G27)</f>
        <v>138079192</v>
      </c>
      <c r="I27" s="83"/>
      <c r="J27" s="1"/>
    </row>
    <row r="28" spans="1:10">
      <c r="A28" s="5" t="s">
        <v>172</v>
      </c>
      <c r="B28" s="51"/>
      <c r="C28" s="76" t="s">
        <v>195</v>
      </c>
      <c r="D28" s="51"/>
      <c r="E28" s="51"/>
      <c r="F28" s="53" t="s">
        <v>15</v>
      </c>
      <c r="G28" s="56">
        <f>SUM(AL:WY!G28)</f>
        <v>132980662</v>
      </c>
      <c r="I28" s="83"/>
      <c r="J28" s="1"/>
    </row>
    <row r="29" spans="1:10">
      <c r="A29" s="146" t="s">
        <v>91</v>
      </c>
      <c r="B29" s="149">
        <f>SUM(AL:WY!B29)</f>
        <v>779733</v>
      </c>
      <c r="C29" s="147">
        <f>B29/B$34</f>
        <v>0.19287107249290586</v>
      </c>
      <c r="D29" s="69"/>
      <c r="E29" s="51"/>
      <c r="F29" s="51"/>
      <c r="G29" s="51"/>
      <c r="I29" s="1"/>
      <c r="J29" s="1"/>
    </row>
    <row r="30" spans="1:10">
      <c r="A30" s="146" t="s">
        <v>92</v>
      </c>
      <c r="B30" s="157">
        <f>SUM(AL:WY!B30)</f>
        <v>1788046</v>
      </c>
      <c r="C30" s="148">
        <f t="shared" ref="C30:C33" si="2">B30/B$34</f>
        <v>0.44228261428803234</v>
      </c>
      <c r="D30" s="69"/>
      <c r="E30" s="51"/>
      <c r="F30" s="5" t="s">
        <v>165</v>
      </c>
      <c r="G30" s="51"/>
      <c r="I30" s="1"/>
      <c r="J30" s="1"/>
    </row>
    <row r="31" spans="1:10">
      <c r="A31" s="146" t="s">
        <v>93</v>
      </c>
      <c r="B31" s="157">
        <f>SUM(AL:WY!B31)</f>
        <v>1286440</v>
      </c>
      <c r="C31" s="148">
        <f t="shared" si="2"/>
        <v>0.31820772302541228</v>
      </c>
      <c r="D31" s="69"/>
      <c r="E31" s="51"/>
      <c r="F31" s="163" t="s">
        <v>16</v>
      </c>
      <c r="G31" s="168">
        <f>SUM(AL:WY!G31)</f>
        <v>42241826</v>
      </c>
      <c r="H31" s="147">
        <f>G31/G$39</f>
        <v>0.20986617848524772</v>
      </c>
      <c r="I31" s="1"/>
      <c r="J31" s="1"/>
    </row>
    <row r="32" spans="1:10">
      <c r="A32" s="146" t="s">
        <v>94</v>
      </c>
      <c r="B32" s="157">
        <f>SUM(AL:WY!B32)</f>
        <v>57017</v>
      </c>
      <c r="C32" s="148">
        <f t="shared" si="2"/>
        <v>1.4103455850051252E-2</v>
      </c>
      <c r="D32" s="69"/>
      <c r="E32" s="51"/>
      <c r="F32" s="163" t="s">
        <v>17</v>
      </c>
      <c r="G32" s="169">
        <f>SUM(AL:WY!G32)</f>
        <v>62212231</v>
      </c>
      <c r="H32" s="148">
        <f t="shared" ref="H32:H38" si="3">G32/G$39</f>
        <v>0.30908330466139089</v>
      </c>
      <c r="I32" s="1"/>
      <c r="J32" s="1"/>
    </row>
    <row r="33" spans="1:10">
      <c r="A33" s="146" t="s">
        <v>95</v>
      </c>
      <c r="B33" s="150">
        <f>SUM(AL:WY!B33)</f>
        <v>131532</v>
      </c>
      <c r="C33" s="148">
        <f t="shared" si="2"/>
        <v>3.2535134343598247E-2</v>
      </c>
      <c r="D33" s="69"/>
      <c r="E33" s="51"/>
      <c r="F33" s="163" t="s">
        <v>18</v>
      </c>
      <c r="G33" s="169">
        <f>SUM(AL:WY!G33)</f>
        <v>31767327</v>
      </c>
      <c r="H33" s="148">
        <f t="shared" si="3"/>
        <v>0.15782668860435223</v>
      </c>
      <c r="I33" s="1"/>
      <c r="J33" s="1"/>
    </row>
    <row r="34" spans="1:10">
      <c r="A34" s="9" t="s">
        <v>1</v>
      </c>
      <c r="B34" s="154">
        <f>SUM(B29:B33)</f>
        <v>4042768</v>
      </c>
      <c r="C34" s="158">
        <f>SUM(C29:C33)</f>
        <v>1</v>
      </c>
      <c r="D34" s="70"/>
      <c r="E34" s="51"/>
      <c r="F34" s="163" t="s">
        <v>19</v>
      </c>
      <c r="G34" s="169">
        <f>SUM(AL:WY!G34)</f>
        <v>8587956</v>
      </c>
      <c r="H34" s="148">
        <f t="shared" si="3"/>
        <v>4.2666751828376315E-2</v>
      </c>
      <c r="I34" s="1"/>
      <c r="J34" s="1"/>
    </row>
    <row r="35" spans="1:10">
      <c r="B35" s="49"/>
      <c r="C35" s="74"/>
      <c r="D35" s="49"/>
      <c r="E35" s="51"/>
      <c r="F35" s="163" t="s">
        <v>20</v>
      </c>
      <c r="G35" s="169">
        <f>SUM(AL:WY!G35)</f>
        <v>13332057</v>
      </c>
      <c r="H35" s="148">
        <f t="shared" si="3"/>
        <v>6.623643243872783E-2</v>
      </c>
      <c r="I35" s="1"/>
      <c r="J35" s="1"/>
    </row>
    <row r="36" spans="1:10">
      <c r="A36" s="5" t="s">
        <v>173</v>
      </c>
      <c r="B36" s="51"/>
      <c r="C36" s="76" t="s">
        <v>195</v>
      </c>
      <c r="D36" s="51"/>
      <c r="E36" s="51"/>
      <c r="F36" s="163" t="s">
        <v>21</v>
      </c>
      <c r="G36" s="169">
        <f>SUM(AL:WY!G36)</f>
        <v>15820571</v>
      </c>
      <c r="H36" s="148">
        <f t="shared" si="3"/>
        <v>7.8599887638013899E-2</v>
      </c>
      <c r="I36" s="1"/>
      <c r="J36" s="1"/>
    </row>
    <row r="37" spans="1:10">
      <c r="A37" s="146" t="s">
        <v>5</v>
      </c>
      <c r="B37" s="149">
        <f>SUM(AL:WY!B37)</f>
        <v>213588</v>
      </c>
      <c r="C37" s="147">
        <f>B37/B$43</f>
        <v>2.5175480957085064E-2</v>
      </c>
      <c r="D37" s="69"/>
      <c r="E37" s="51"/>
      <c r="F37" s="163" t="s">
        <v>22</v>
      </c>
      <c r="G37" s="169">
        <f>SUM(AL:WY!G37)</f>
        <v>25656167</v>
      </c>
      <c r="H37" s="148">
        <f t="shared" si="3"/>
        <v>0.1274651745137467</v>
      </c>
      <c r="I37" s="1"/>
      <c r="J37" s="1"/>
    </row>
    <row r="38" spans="1:10">
      <c r="A38" s="146" t="s">
        <v>7</v>
      </c>
      <c r="B38" s="157">
        <f>SUM(AL:WY!B38)</f>
        <v>477518</v>
      </c>
      <c r="C38" s="148">
        <f t="shared" ref="C38:C42" si="4">B38/B$43</f>
        <v>5.6284741257305398E-2</v>
      </c>
      <c r="D38" s="69"/>
      <c r="E38" s="51"/>
      <c r="F38" s="163" t="s">
        <v>161</v>
      </c>
      <c r="G38" s="170">
        <f>1161085+457488+43109</f>
        <v>1661682</v>
      </c>
      <c r="H38" s="148">
        <f t="shared" si="3"/>
        <v>8.2555818301444494E-3</v>
      </c>
      <c r="I38" s="1"/>
      <c r="J38" s="1"/>
    </row>
    <row r="39" spans="1:10">
      <c r="A39" s="146" t="s">
        <v>6</v>
      </c>
      <c r="B39" s="157">
        <f>SUM(AL:WY!B39)</f>
        <v>552685</v>
      </c>
      <c r="C39" s="148">
        <f t="shared" si="4"/>
        <v>6.5144627473296995E-2</v>
      </c>
      <c r="D39" s="69"/>
      <c r="E39" s="51"/>
      <c r="F39" s="9" t="s">
        <v>1</v>
      </c>
      <c r="G39" s="167">
        <f>SUM(G31:G38)</f>
        <v>201279817</v>
      </c>
      <c r="H39" s="165">
        <f>SUM(H31:H38)</f>
        <v>1</v>
      </c>
      <c r="I39" s="1"/>
      <c r="J39" s="1"/>
    </row>
    <row r="40" spans="1:10">
      <c r="A40" s="146" t="s">
        <v>30</v>
      </c>
      <c r="B40" s="157">
        <f>SUM(AL:WY!B40)</f>
        <v>1608794</v>
      </c>
      <c r="C40" s="148">
        <f t="shared" si="4"/>
        <v>0.18962751985538845</v>
      </c>
      <c r="D40" s="69"/>
      <c r="E40" s="51"/>
      <c r="G40" s="49"/>
      <c r="I40" s="1"/>
      <c r="J40" s="1"/>
    </row>
    <row r="41" spans="1:10">
      <c r="A41" s="146" t="s">
        <v>8</v>
      </c>
      <c r="B41" s="157">
        <f>SUM(AL:WY!B41)</f>
        <v>5578604</v>
      </c>
      <c r="C41" s="148">
        <f t="shared" si="4"/>
        <v>0.65754648561304263</v>
      </c>
      <c r="D41" s="69"/>
      <c r="E41" s="51"/>
      <c r="F41" s="5" t="s">
        <v>166</v>
      </c>
      <c r="G41" s="49"/>
      <c r="I41" s="1"/>
      <c r="J41" s="1"/>
    </row>
    <row r="42" spans="1:10">
      <c r="A42" s="156" t="s">
        <v>29</v>
      </c>
      <c r="B42" s="157">
        <f>SUM(AL:WY!B42)</f>
        <v>52780</v>
      </c>
      <c r="C42" s="148">
        <f t="shared" si="4"/>
        <v>6.2211448438814427E-3</v>
      </c>
      <c r="D42" s="69"/>
      <c r="E42" s="51"/>
      <c r="F42" s="163" t="s">
        <v>38</v>
      </c>
      <c r="G42" s="168">
        <f>SUM(AL:WY!G41)</f>
        <v>90687924</v>
      </c>
      <c r="H42" s="147">
        <f>G42/G$49</f>
        <v>0.49987999077849404</v>
      </c>
      <c r="I42" s="1"/>
      <c r="J42" s="1"/>
    </row>
    <row r="43" spans="1:10">
      <c r="A43" s="9" t="s">
        <v>1</v>
      </c>
      <c r="B43" s="155">
        <f>SUM(B37:B42)</f>
        <v>8483969</v>
      </c>
      <c r="C43" s="158">
        <f>SUM(C37:C42)</f>
        <v>1</v>
      </c>
      <c r="D43" s="172"/>
      <c r="E43" s="51"/>
      <c r="F43" s="163" t="s">
        <v>39</v>
      </c>
      <c r="G43" s="169">
        <f>SUM(AL:WY!G42)</f>
        <v>44535657</v>
      </c>
      <c r="H43" s="148">
        <f t="shared" ref="H43:H48" si="5">G43/G$49</f>
        <v>0.24548454555508598</v>
      </c>
      <c r="I43" s="1"/>
      <c r="J43" s="1"/>
    </row>
    <row r="44" spans="1:10">
      <c r="A44" s="1"/>
      <c r="B44" s="51"/>
      <c r="C44" s="72"/>
      <c r="D44" s="51"/>
      <c r="E44" s="51"/>
      <c r="F44" s="163" t="s">
        <v>40</v>
      </c>
      <c r="G44" s="169">
        <f>SUM(AL:WY!G43)</f>
        <v>13100975</v>
      </c>
      <c r="H44" s="148">
        <f t="shared" si="5"/>
        <v>7.2213752099885772E-2</v>
      </c>
      <c r="I44" s="1"/>
      <c r="J44" s="1"/>
    </row>
    <row r="45" spans="1:10" ht="18.75">
      <c r="A45" s="10" t="s">
        <v>174</v>
      </c>
      <c r="B45" s="58"/>
      <c r="C45" s="75"/>
      <c r="D45" s="58"/>
      <c r="E45" s="51"/>
      <c r="F45" s="163" t="s">
        <v>41</v>
      </c>
      <c r="G45" s="169">
        <f>SUM(AL:WY!G44)</f>
        <v>14722510</v>
      </c>
      <c r="H45" s="148">
        <f>G45/G$49</f>
        <v>8.1151798811011339E-2</v>
      </c>
      <c r="I45" s="1"/>
      <c r="J45" s="1"/>
    </row>
    <row r="46" spans="1:10">
      <c r="A46" s="1"/>
      <c r="B46" s="1"/>
      <c r="C46" s="73"/>
      <c r="D46" s="1"/>
      <c r="E46" s="51"/>
      <c r="F46" s="163" t="s">
        <v>42</v>
      </c>
      <c r="G46" s="169">
        <f>SUM(AL:WY!G45)</f>
        <v>8318855</v>
      </c>
      <c r="H46" s="148">
        <f t="shared" si="5"/>
        <v>4.5854276702680163E-2</v>
      </c>
      <c r="I46" s="1"/>
      <c r="J46" s="1"/>
    </row>
    <row r="47" spans="1:10">
      <c r="A47" s="5" t="s">
        <v>194</v>
      </c>
      <c r="B47" s="1"/>
      <c r="C47" s="73"/>
      <c r="D47" s="1"/>
      <c r="E47" s="51"/>
      <c r="F47" s="163" t="s">
        <v>43</v>
      </c>
      <c r="G47" s="169">
        <f>SUM(AL:WY!G46)</f>
        <v>7966023</v>
      </c>
      <c r="H47" s="148">
        <f t="shared" si="5"/>
        <v>4.3909434995791412E-2</v>
      </c>
      <c r="I47" s="1"/>
      <c r="J47" s="1"/>
    </row>
    <row r="48" spans="1:10">
      <c r="A48" s="146" t="s">
        <v>3</v>
      </c>
      <c r="B48" s="149">
        <f>SUM(AL:WY!B46)</f>
        <v>990418</v>
      </c>
      <c r="C48" s="147">
        <f>B48/B$50</f>
        <v>0.33308054557763234</v>
      </c>
      <c r="D48" s="69"/>
      <c r="E48" s="51"/>
      <c r="F48" s="163" t="s">
        <v>161</v>
      </c>
      <c r="G48" s="171">
        <v>2087448</v>
      </c>
      <c r="H48" s="148">
        <f t="shared" si="5"/>
        <v>1.1506201057051278E-2</v>
      </c>
      <c r="I48" s="1"/>
      <c r="J48" s="1"/>
    </row>
    <row r="49" spans="1:10">
      <c r="A49" s="146" t="s">
        <v>2</v>
      </c>
      <c r="B49" s="157">
        <f>SUM(AL:WY!B47)</f>
        <v>1983091</v>
      </c>
      <c r="C49" s="148">
        <f>B49/B$50</f>
        <v>0.66691945442236766</v>
      </c>
      <c r="D49" s="69"/>
      <c r="E49" s="51"/>
      <c r="F49" s="9" t="s">
        <v>1</v>
      </c>
      <c r="G49" s="167">
        <f>SUM(G42:G48)</f>
        <v>181419392</v>
      </c>
      <c r="H49" s="165">
        <f>SUM(H42:H48)</f>
        <v>0.99999999999999989</v>
      </c>
      <c r="I49" s="1"/>
      <c r="J49" s="1"/>
    </row>
    <row r="50" spans="1:10">
      <c r="A50" s="9" t="s">
        <v>1</v>
      </c>
      <c r="B50" s="155">
        <f>SUM(B48:B49)</f>
        <v>2973509</v>
      </c>
      <c r="C50" s="158">
        <f>SUM(C48:C49)</f>
        <v>1</v>
      </c>
      <c r="D50" s="172"/>
      <c r="E50" s="51"/>
      <c r="F50" s="49"/>
      <c r="G50" s="51"/>
      <c r="H50" s="1"/>
      <c r="I50" s="1"/>
      <c r="J50" s="1"/>
    </row>
    <row r="51" spans="1:10">
      <c r="B51" s="49"/>
      <c r="C51" s="74"/>
      <c r="D51" s="51"/>
      <c r="E51" s="51"/>
      <c r="F51" s="5" t="s">
        <v>182</v>
      </c>
      <c r="G51" s="49"/>
      <c r="H51" s="1"/>
      <c r="I51" s="1"/>
      <c r="J51" s="1"/>
    </row>
    <row r="52" spans="1:10">
      <c r="A52" s="5" t="s">
        <v>175</v>
      </c>
      <c r="B52" s="51"/>
      <c r="C52" s="72"/>
      <c r="D52" s="51"/>
      <c r="E52" s="51"/>
      <c r="F52" s="163" t="s">
        <v>96</v>
      </c>
      <c r="G52" s="149">
        <f>SUM(AL:WY!G50)</f>
        <v>31341702</v>
      </c>
      <c r="H52" s="147">
        <f>G52/G$54</f>
        <v>0.86140179399856531</v>
      </c>
      <c r="I52" s="1"/>
      <c r="J52" s="1"/>
    </row>
    <row r="53" spans="1:10">
      <c r="A53" s="146" t="s">
        <v>5</v>
      </c>
      <c r="B53" s="149">
        <f>SUM(AL:WY!B51)</f>
        <v>719381</v>
      </c>
      <c r="C53" s="147">
        <f t="shared" ref="C53:C58" si="6">B53/B$59</f>
        <v>0.24192998911387187</v>
      </c>
      <c r="D53" s="69"/>
      <c r="E53" s="51"/>
      <c r="F53" s="163" t="s">
        <v>97</v>
      </c>
      <c r="G53" s="157">
        <f>SUM(AL:WY!G51)</f>
        <v>5042831</v>
      </c>
      <c r="H53" s="148">
        <f>G53/G$54</f>
        <v>0.13859820600143474</v>
      </c>
      <c r="I53" s="1"/>
      <c r="J53" s="1"/>
    </row>
    <row r="54" spans="1:10">
      <c r="A54" s="146" t="s">
        <v>7</v>
      </c>
      <c r="B54" s="157">
        <f>SUM(AL:WY!B52)</f>
        <v>684867</v>
      </c>
      <c r="C54" s="148">
        <f t="shared" si="6"/>
        <v>0.2303228273396852</v>
      </c>
      <c r="D54" s="69"/>
      <c r="E54" s="51"/>
      <c r="F54" s="9" t="s">
        <v>1</v>
      </c>
      <c r="G54" s="167">
        <f>SUM(G52:G53)</f>
        <v>36384533</v>
      </c>
      <c r="H54" s="165">
        <f>SUM(H52:H53)</f>
        <v>1</v>
      </c>
      <c r="I54" s="1"/>
      <c r="J54" s="1"/>
    </row>
    <row r="55" spans="1:10">
      <c r="A55" s="146" t="s">
        <v>6</v>
      </c>
      <c r="B55" s="157">
        <f>SUM(AL:WY!B53)</f>
        <v>529008</v>
      </c>
      <c r="C55" s="148">
        <f t="shared" si="6"/>
        <v>0.17790697791733606</v>
      </c>
      <c r="D55" s="69"/>
      <c r="E55" s="51"/>
      <c r="F55" s="51"/>
      <c r="G55" s="51"/>
      <c r="H55" s="1"/>
      <c r="I55" s="1"/>
      <c r="J55" s="1"/>
    </row>
    <row r="56" spans="1:10">
      <c r="A56" s="146" t="s">
        <v>30</v>
      </c>
      <c r="B56" s="157">
        <f>SUM(AL:WY!B54)</f>
        <v>416547</v>
      </c>
      <c r="C56" s="148">
        <f t="shared" si="6"/>
        <v>0.14008600612945848</v>
      </c>
      <c r="D56" s="69"/>
      <c r="E56" s="51"/>
      <c r="F56" s="145" t="s">
        <v>202</v>
      </c>
      <c r="G56" s="51"/>
      <c r="H56" s="1"/>
      <c r="I56" s="1"/>
      <c r="J56" s="1"/>
    </row>
    <row r="57" spans="1:10">
      <c r="A57" s="146" t="s">
        <v>8</v>
      </c>
      <c r="B57" s="157">
        <f>SUM(AL:WY!B55)</f>
        <v>401082</v>
      </c>
      <c r="C57" s="148">
        <f t="shared" si="6"/>
        <v>0.13488508022003634</v>
      </c>
      <c r="D57" s="69"/>
      <c r="E57" s="51"/>
      <c r="F57" s="173" t="s">
        <v>203</v>
      </c>
      <c r="G57" s="51"/>
      <c r="H57" s="1"/>
      <c r="I57" s="1"/>
      <c r="J57" s="1"/>
    </row>
    <row r="58" spans="1:10">
      <c r="A58" s="156" t="s">
        <v>29</v>
      </c>
      <c r="B58" s="150">
        <f>SUM(AL:WY!B56)</f>
        <v>222624</v>
      </c>
      <c r="C58" s="148">
        <f t="shared" si="6"/>
        <v>7.4869119279612067E-2</v>
      </c>
      <c r="D58" s="69"/>
      <c r="E58" s="1"/>
      <c r="F58" s="1"/>
      <c r="G58" s="51"/>
      <c r="H58" s="1"/>
      <c r="I58" s="1"/>
      <c r="J58" s="1"/>
    </row>
    <row r="59" spans="1:10">
      <c r="A59" s="9" t="s">
        <v>1</v>
      </c>
      <c r="B59" s="154">
        <f>SUM(B53:B58)</f>
        <v>2973509</v>
      </c>
      <c r="C59" s="159">
        <f>SUM(C53:C58)</f>
        <v>1</v>
      </c>
      <c r="D59" s="172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30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D62" s="1"/>
      <c r="E62" s="1"/>
      <c r="F62" s="1"/>
      <c r="G62" s="1"/>
      <c r="H62" s="1"/>
      <c r="I62" s="1"/>
      <c r="J62" s="1"/>
    </row>
  </sheetData>
  <hyperlinks>
    <hyperlink ref="F2" r:id="rId1"/>
  </hyperlinks>
  <pageMargins left="0.45" right="0.2" top="0.75" bottom="0.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8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48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591833</v>
      </c>
      <c r="C4" s="99"/>
      <c r="D4" s="77">
        <f>B4/National!B4</f>
        <v>1.9464366809725843E-3</v>
      </c>
      <c r="E4" s="1"/>
      <c r="F4" s="146" t="s">
        <v>10</v>
      </c>
      <c r="G4" s="195">
        <v>183556</v>
      </c>
      <c r="H4" s="189">
        <f>G4/G$6</f>
        <v>0.49113944372349394</v>
      </c>
      <c r="I4" s="112">
        <f>+G4/National!G4</f>
        <v>1.7714655081413238E-3</v>
      </c>
    </row>
    <row r="5" spans="1:9">
      <c r="A5" s="8" t="s">
        <v>167</v>
      </c>
      <c r="B5" s="50">
        <v>61</v>
      </c>
      <c r="C5" s="100"/>
      <c r="D5" s="79">
        <f>B5/National!B5</f>
        <v>1.7244103859258714E-5</v>
      </c>
      <c r="E5" s="1"/>
      <c r="F5" s="146" t="s">
        <v>11</v>
      </c>
      <c r="G5" s="196">
        <v>190179</v>
      </c>
      <c r="H5" s="86">
        <f>G5/G$6</f>
        <v>0.50886055627650606</v>
      </c>
      <c r="I5" s="113">
        <f>+G5/National!G5</f>
        <v>1.8163760253951677E-3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373735</v>
      </c>
      <c r="H6" s="182">
        <f>SUM(H4:H5)</f>
        <v>1</v>
      </c>
      <c r="I6" s="183">
        <f>+G6/National!G6</f>
        <v>1.7940376429693575E-3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115808</v>
      </c>
      <c r="C8" s="174">
        <f>B8/B10</f>
        <v>0.81111103328967549</v>
      </c>
      <c r="D8" s="77">
        <f>B8/National!B8</f>
        <v>8.477511407669145E-4</v>
      </c>
      <c r="E8" s="1"/>
      <c r="F8" s="146" t="s">
        <v>32</v>
      </c>
      <c r="G8" s="206">
        <f>20/100</f>
        <v>0.2</v>
      </c>
      <c r="H8" s="87"/>
      <c r="I8" s="87"/>
    </row>
    <row r="9" spans="1:9">
      <c r="A9" s="146" t="s">
        <v>169</v>
      </c>
      <c r="B9" s="150">
        <v>26969</v>
      </c>
      <c r="C9" s="175">
        <f>B9/B10</f>
        <v>0.18888896671032449</v>
      </c>
      <c r="D9" s="78">
        <f>B9/National!B9</f>
        <v>6.9939596348244889E-4</v>
      </c>
      <c r="E9" s="1"/>
      <c r="F9" s="146" t="s">
        <v>31</v>
      </c>
      <c r="G9" s="207">
        <f>20/100</f>
        <v>0.2</v>
      </c>
      <c r="H9" s="87"/>
      <c r="I9" s="87"/>
    </row>
    <row r="10" spans="1:9">
      <c r="A10" s="9" t="s">
        <v>9</v>
      </c>
      <c r="B10" s="152">
        <f>SUM(B8:B9)</f>
        <v>142777</v>
      </c>
      <c r="C10" s="176">
        <f>SUM(C8:C9)</f>
        <v>1</v>
      </c>
      <c r="D10" s="165"/>
      <c r="E10" s="1"/>
      <c r="F10" s="146" t="s">
        <v>33</v>
      </c>
      <c r="G10" s="205">
        <f>20/100</f>
        <v>0.2</v>
      </c>
      <c r="H10" s="87"/>
      <c r="I10" s="87"/>
    </row>
    <row r="11" spans="1:9">
      <c r="A11" s="146" t="s">
        <v>170</v>
      </c>
      <c r="B11" s="149">
        <v>5831</v>
      </c>
      <c r="C11" s="93">
        <f>B11/(B12+B11)</f>
        <v>5.4803146646115096E-2</v>
      </c>
      <c r="D11" s="77">
        <f>B11/National!B11</f>
        <v>1.5461118376325371E-3</v>
      </c>
      <c r="E11" s="1"/>
      <c r="G11" s="49"/>
      <c r="H11" s="87"/>
      <c r="I11" s="86"/>
    </row>
    <row r="12" spans="1:9" ht="23.25">
      <c r="A12" s="146" t="s">
        <v>171</v>
      </c>
      <c r="B12" s="150">
        <v>100568</v>
      </c>
      <c r="C12" s="95">
        <f>B12/(B11+B12)</f>
        <v>0.94519685335388492</v>
      </c>
      <c r="D12" s="79">
        <f>B12/National!B12</f>
        <v>7.6069805771021202E-4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171255</v>
      </c>
      <c r="H13" s="189">
        <f>G13/G$18</f>
        <v>0.76147515106781272</v>
      </c>
      <c r="I13" s="92">
        <f>+G13/National!G13</f>
        <v>1.2493084048834226E-3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49516</v>
      </c>
      <c r="H14" s="86">
        <f>G14/G$18</f>
        <v>0.22016994295216963</v>
      </c>
      <c r="I14" s="106">
        <f>+G14/National!G14</f>
        <v>4.4915899115276708E-4</v>
      </c>
    </row>
    <row r="15" spans="1:9">
      <c r="A15" s="146" t="s">
        <v>3</v>
      </c>
      <c r="B15" s="149">
        <v>0</v>
      </c>
      <c r="C15" s="174">
        <f>B15/B$17</f>
        <v>0</v>
      </c>
      <c r="D15" s="77">
        <f>B15/National!B15</f>
        <v>0</v>
      </c>
      <c r="E15" s="3"/>
      <c r="F15" s="146" t="s">
        <v>13</v>
      </c>
      <c r="G15" s="150">
        <v>3028</v>
      </c>
      <c r="H15" s="86">
        <f>G15/G$18</f>
        <v>1.346382153766802E-2</v>
      </c>
      <c r="I15" s="106">
        <f>+G15/National!G15</f>
        <v>3.5906216945647378E-3</v>
      </c>
    </row>
    <row r="16" spans="1:9">
      <c r="A16" s="146" t="s">
        <v>2</v>
      </c>
      <c r="B16" s="150">
        <v>1505</v>
      </c>
      <c r="C16" s="175">
        <f>B16/B$17</f>
        <v>1</v>
      </c>
      <c r="D16" s="78">
        <f>B16/National!B16</f>
        <v>1.4124293785310734E-3</v>
      </c>
      <c r="E16" s="1"/>
      <c r="F16" s="9" t="s">
        <v>1</v>
      </c>
      <c r="G16" s="162">
        <v>223799</v>
      </c>
      <c r="H16" s="105"/>
      <c r="I16" s="106"/>
    </row>
    <row r="17" spans="1:9">
      <c r="A17" s="9" t="s">
        <v>1</v>
      </c>
      <c r="B17" s="154">
        <f>SUM(B15:B16)</f>
        <v>1505</v>
      </c>
      <c r="C17" s="176">
        <f>SUM(C15:C16)</f>
        <v>1</v>
      </c>
      <c r="D17" s="177">
        <f>B17/National!B17</f>
        <v>3.7226969244834231E-4</v>
      </c>
      <c r="E17" s="1"/>
      <c r="F17" s="108" t="s">
        <v>35</v>
      </c>
      <c r="G17" s="117">
        <v>1100</v>
      </c>
      <c r="H17" s="105">
        <f>G17/G$18</f>
        <v>4.8910844423496773E-3</v>
      </c>
      <c r="I17" s="106">
        <f>+G17/National!G17</f>
        <v>1.4273731765956476E-4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224899</v>
      </c>
      <c r="H18" s="185">
        <f>SUM(H13:H17)</f>
        <v>1</v>
      </c>
      <c r="I18" s="186">
        <f>+G18/National!G18</f>
        <v>8.7895393558201206E-4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v>13</v>
      </c>
      <c r="C20" s="174">
        <f>B20/B$26</f>
        <v>8.6321381142098266E-3</v>
      </c>
      <c r="D20" s="77">
        <f>B20/National!B20</f>
        <v>2.7806891831190777E-4</v>
      </c>
      <c r="E20" s="51"/>
      <c r="F20" s="163" t="s">
        <v>3</v>
      </c>
      <c r="G20" s="108">
        <f>1+1</f>
        <v>2</v>
      </c>
      <c r="H20" s="189">
        <f>G20/G$23</f>
        <v>5.8823529411764705E-2</v>
      </c>
      <c r="I20" s="92">
        <f>+G20/National!G20</f>
        <v>9.6121497572932181E-5</v>
      </c>
    </row>
    <row r="21" spans="1:9">
      <c r="A21" s="146" t="s">
        <v>7</v>
      </c>
      <c r="B21" s="157">
        <v>101</v>
      </c>
      <c r="C21" s="175">
        <f t="shared" ref="C21:C25" si="0">B21/B$26</f>
        <v>6.7065073041168655E-2</v>
      </c>
      <c r="D21" s="78">
        <f>B21/National!B21</f>
        <v>6.3320502050079623E-4</v>
      </c>
      <c r="E21" s="51"/>
      <c r="F21" s="163" t="s">
        <v>2</v>
      </c>
      <c r="G21" s="198">
        <f>4+28</f>
        <v>32</v>
      </c>
      <c r="H21" s="86">
        <f t="shared" ref="H21:H22" si="1">G21/G$23</f>
        <v>0.94117647058823528</v>
      </c>
      <c r="I21" s="106">
        <f>+G21/National!G21</f>
        <v>2.0055151667084481E-3</v>
      </c>
    </row>
    <row r="22" spans="1:9">
      <c r="A22" s="146" t="s">
        <v>6</v>
      </c>
      <c r="B22" s="157">
        <v>165</v>
      </c>
      <c r="C22" s="175">
        <f t="shared" si="0"/>
        <v>0.10956175298804781</v>
      </c>
      <c r="D22" s="78">
        <f>B22/National!B22</f>
        <v>6.8409378303862026E-4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v>156</v>
      </c>
      <c r="C23" s="175">
        <f t="shared" si="0"/>
        <v>0.10358565737051793</v>
      </c>
      <c r="D23" s="78">
        <f>B23/National!B23</f>
        <v>1.9630370196064615E-4</v>
      </c>
      <c r="E23" s="51"/>
      <c r="F23" s="9" t="s">
        <v>1</v>
      </c>
      <c r="G23" s="197">
        <f>SUM(G20:G22)</f>
        <v>34</v>
      </c>
      <c r="H23" s="132">
        <f>SUM(H20:H22)</f>
        <v>1</v>
      </c>
      <c r="I23" s="133">
        <f>+G23/National!G23</f>
        <v>9.1248222001556582E-4</v>
      </c>
    </row>
    <row r="24" spans="1:9">
      <c r="A24" s="146" t="s">
        <v>8</v>
      </c>
      <c r="B24" s="157">
        <v>1051</v>
      </c>
      <c r="C24" s="175">
        <f t="shared" si="0"/>
        <v>0.69787516600265609</v>
      </c>
      <c r="D24" s="78">
        <f>B24/National!B24</f>
        <v>3.7679650550818413E-4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20</v>
      </c>
      <c r="C25" s="175">
        <f t="shared" si="0"/>
        <v>1.3280212483399735E-2</v>
      </c>
      <c r="D25" s="78">
        <f>B25/National!B25</f>
        <v>1.7644464049404499E-3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1506</v>
      </c>
      <c r="C26" s="176">
        <f>SUM(C20:C25)</f>
        <v>1</v>
      </c>
      <c r="D26" s="177">
        <f>B26/National!B26</f>
        <v>3.725161262874192E-4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268460</v>
      </c>
      <c r="H27" s="87"/>
      <c r="I27" s="113">
        <f>+G27/National!G27</f>
        <v>1.9442466030652901E-3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335205</v>
      </c>
      <c r="H28" s="87"/>
      <c r="I28" s="114">
        <f>+G28/National!G28</f>
        <v>2.5207048525596903E-3</v>
      </c>
    </row>
    <row r="29" spans="1:9">
      <c r="A29" s="146" t="s">
        <v>91</v>
      </c>
      <c r="B29" s="149">
        <v>1390</v>
      </c>
      <c r="C29" s="174">
        <f>B29/B$34</f>
        <v>0.92358803986710969</v>
      </c>
      <c r="D29" s="77">
        <f>B29/National!B29</f>
        <v>1.7826615007957853E-3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v>0</v>
      </c>
      <c r="C30" s="175">
        <f t="shared" ref="C30:C33" si="2">B30/B$34</f>
        <v>0</v>
      </c>
      <c r="D30" s="78">
        <f>B30/National!B30</f>
        <v>0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v>0</v>
      </c>
      <c r="C31" s="175">
        <f t="shared" si="2"/>
        <v>0</v>
      </c>
      <c r="D31" s="78">
        <f>B31/National!B31</f>
        <v>0</v>
      </c>
      <c r="E31" s="51"/>
      <c r="F31" s="163" t="s">
        <v>16</v>
      </c>
      <c r="G31" s="168">
        <v>135610</v>
      </c>
      <c r="H31" s="92">
        <f>G31/G$38</f>
        <v>0.20453966132781096</v>
      </c>
      <c r="I31" s="112">
        <f>+G31/National!G31</f>
        <v>3.2103252354668569E-3</v>
      </c>
    </row>
    <row r="32" spans="1:9">
      <c r="A32" s="146" t="s">
        <v>94</v>
      </c>
      <c r="B32" s="157">
        <v>24</v>
      </c>
      <c r="C32" s="175">
        <f t="shared" si="2"/>
        <v>1.5946843853820596E-2</v>
      </c>
      <c r="D32" s="78">
        <f>B32/National!B32</f>
        <v>4.2092709191995372E-4</v>
      </c>
      <c r="E32" s="51"/>
      <c r="F32" s="163" t="s">
        <v>17</v>
      </c>
      <c r="G32" s="169">
        <v>92690</v>
      </c>
      <c r="H32" s="106">
        <f t="shared" ref="H32:H37" si="3">G32/G$38</f>
        <v>0.13980371070330211</v>
      </c>
      <c r="I32" s="113">
        <f>+G32/National!G32</f>
        <v>1.4898999523100208E-3</v>
      </c>
    </row>
    <row r="33" spans="1:9">
      <c r="A33" s="146" t="s">
        <v>95</v>
      </c>
      <c r="B33" s="150">
        <v>91</v>
      </c>
      <c r="C33" s="175">
        <f t="shared" si="2"/>
        <v>6.0465116279069767E-2</v>
      </c>
      <c r="D33" s="78">
        <f>B33/National!B33</f>
        <v>6.918468509564213E-4</v>
      </c>
      <c r="E33" s="51"/>
      <c r="F33" s="163" t="s">
        <v>18</v>
      </c>
      <c r="G33" s="169">
        <v>189982</v>
      </c>
      <c r="H33" s="106">
        <f t="shared" si="3"/>
        <v>0.28654858740786215</v>
      </c>
      <c r="I33" s="113">
        <f>+G33/National!G33</f>
        <v>5.9804213303813695E-3</v>
      </c>
    </row>
    <row r="34" spans="1:9">
      <c r="A34" s="9" t="s">
        <v>1</v>
      </c>
      <c r="B34" s="154">
        <f>SUM(B29:B33)</f>
        <v>1505</v>
      </c>
      <c r="C34" s="176">
        <f>SUM(C29:C33)</f>
        <v>1</v>
      </c>
      <c r="D34" s="180">
        <f>B34/National!B34</f>
        <v>3.7226969244834231E-4</v>
      </c>
      <c r="E34" s="51"/>
      <c r="F34" s="163" t="s">
        <v>19</v>
      </c>
      <c r="G34" s="169">
        <v>0</v>
      </c>
      <c r="H34" s="106">
        <f t="shared" si="3"/>
        <v>0</v>
      </c>
      <c r="I34" s="113">
        <f>+G34/National!G34</f>
        <v>0</v>
      </c>
    </row>
    <row r="35" spans="1:9">
      <c r="B35" s="49"/>
      <c r="C35" s="96"/>
      <c r="D35" s="96"/>
      <c r="E35" s="51"/>
      <c r="F35" s="163" t="s">
        <v>20</v>
      </c>
      <c r="G35" s="169">
        <v>91674</v>
      </c>
      <c r="H35" s="106">
        <f t="shared" si="3"/>
        <v>0.13827128465869584</v>
      </c>
      <c r="I35" s="113">
        <f>+G35/National!G35</f>
        <v>6.8762082250323408E-3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3822</v>
      </c>
      <c r="H36" s="106">
        <f t="shared" si="3"/>
        <v>5.7646971874853884E-3</v>
      </c>
      <c r="I36" s="113">
        <f>+G36/National!G36</f>
        <v>2.4158420072195876E-4</v>
      </c>
    </row>
    <row r="37" spans="1:9">
      <c r="A37" s="146" t="s">
        <v>5</v>
      </c>
      <c r="B37" s="149">
        <v>77</v>
      </c>
      <c r="C37" s="174">
        <f>B37/B$43</f>
        <v>2.1745269697825472E-2</v>
      </c>
      <c r="D37" s="77">
        <f>B37/National!B37</f>
        <v>3.6050714459613838E-4</v>
      </c>
      <c r="E37" s="51"/>
      <c r="F37" s="163" t="s">
        <v>22</v>
      </c>
      <c r="G37" s="170">
        <v>149223</v>
      </c>
      <c r="H37" s="106">
        <f t="shared" si="3"/>
        <v>0.22507205871484356</v>
      </c>
      <c r="I37" s="114">
        <f>+G37/National!G37</f>
        <v>5.8162624214287348E-3</v>
      </c>
    </row>
    <row r="38" spans="1:9">
      <c r="A38" s="146" t="s">
        <v>7</v>
      </c>
      <c r="B38" s="157">
        <v>410</v>
      </c>
      <c r="C38" s="175">
        <f t="shared" ref="C38:C42" si="4">B38/B$43</f>
        <v>0.11578650098842135</v>
      </c>
      <c r="D38" s="78">
        <f>B38/National!B38</f>
        <v>8.5860637714180405E-4</v>
      </c>
      <c r="E38" s="51"/>
      <c r="F38" s="47" t="s">
        <v>1</v>
      </c>
      <c r="G38" s="187">
        <f>SUM(G31:G37)</f>
        <v>663001</v>
      </c>
      <c r="H38" s="188">
        <f>SUM(H31:H37)</f>
        <v>1</v>
      </c>
      <c r="I38" s="188">
        <f>+G38/National!G39</f>
        <v>3.2939268818989436E-3</v>
      </c>
    </row>
    <row r="39" spans="1:9">
      <c r="A39" s="146" t="s">
        <v>6</v>
      </c>
      <c r="B39" s="157">
        <v>487</v>
      </c>
      <c r="C39" s="175">
        <f t="shared" si="4"/>
        <v>0.13753177068624683</v>
      </c>
      <c r="D39" s="78">
        <f>B39/National!B39</f>
        <v>8.8115291712277341E-4</v>
      </c>
      <c r="E39" s="51"/>
      <c r="H39" s="87"/>
      <c r="I39" s="87"/>
    </row>
    <row r="40" spans="1:9" ht="23.25">
      <c r="A40" s="146" t="s">
        <v>30</v>
      </c>
      <c r="B40" s="157">
        <v>376</v>
      </c>
      <c r="C40" s="175">
        <f t="shared" si="4"/>
        <v>0.10618469358938153</v>
      </c>
      <c r="D40" s="78">
        <f>B40/National!B40</f>
        <v>2.3371544150463017E-4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v>2101</v>
      </c>
      <c r="C41" s="175">
        <f t="shared" si="4"/>
        <v>0.59333521604066652</v>
      </c>
      <c r="D41" s="78">
        <f>B41/National!B41</f>
        <v>3.7661751936505979E-4</v>
      </c>
      <c r="E41" s="51"/>
      <c r="F41" s="163" t="s">
        <v>38</v>
      </c>
      <c r="G41" s="168">
        <v>23894</v>
      </c>
      <c r="H41" s="189">
        <f>G41/G$47</f>
        <v>0.25811818083612403</v>
      </c>
      <c r="I41" s="113">
        <f>+G41/National!G42</f>
        <v>2.6347499144428537E-4</v>
      </c>
    </row>
    <row r="42" spans="1:9">
      <c r="A42" s="156" t="s">
        <v>29</v>
      </c>
      <c r="B42" s="150">
        <v>90</v>
      </c>
      <c r="C42" s="175">
        <f t="shared" si="4"/>
        <v>2.5416548997458346E-2</v>
      </c>
      <c r="D42" s="78">
        <f>B42/National!B42</f>
        <v>1.7051913603637742E-3</v>
      </c>
      <c r="E42" s="51"/>
      <c r="F42" s="163" t="s">
        <v>39</v>
      </c>
      <c r="G42" s="169">
        <v>2997</v>
      </c>
      <c r="H42" s="86">
        <f t="shared" ref="H42:H46" si="5">G42/G$47</f>
        <v>3.2375499621907743E-2</v>
      </c>
      <c r="I42" s="113">
        <f>+G42/National!G43</f>
        <v>6.7294392895113236E-5</v>
      </c>
    </row>
    <row r="43" spans="1:9">
      <c r="A43" s="9" t="s">
        <v>1</v>
      </c>
      <c r="B43" s="154">
        <f>SUM(B37:B42)</f>
        <v>3541</v>
      </c>
      <c r="C43" s="178">
        <f>SUM(C37:C42)</f>
        <v>1</v>
      </c>
      <c r="D43" s="179">
        <f>B43/National!B43</f>
        <v>4.1737540530852952E-4</v>
      </c>
      <c r="E43" s="51"/>
      <c r="F43" s="163" t="s">
        <v>40</v>
      </c>
      <c r="G43" s="169">
        <v>20807</v>
      </c>
      <c r="H43" s="86">
        <f t="shared" si="5"/>
        <v>0.22477044398833315</v>
      </c>
      <c r="I43" s="113">
        <f>+G43/National!G44</f>
        <v>1.5882024047828502E-3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0</v>
      </c>
      <c r="H44" s="86">
        <f t="shared" si="5"/>
        <v>0</v>
      </c>
      <c r="I44" s="113">
        <f>+G44/National!G45</f>
        <v>0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0</v>
      </c>
      <c r="H45" s="86">
        <f t="shared" si="5"/>
        <v>0</v>
      </c>
      <c r="I45" s="113">
        <f>+G45/National!G46</f>
        <v>0</v>
      </c>
    </row>
    <row r="46" spans="1:9">
      <c r="A46" s="8" t="s">
        <v>3</v>
      </c>
      <c r="B46" s="52">
        <v>0</v>
      </c>
      <c r="C46" s="93">
        <f>B46/B$48</f>
        <v>0</v>
      </c>
      <c r="D46" s="77">
        <f>B46/National!B48</f>
        <v>0</v>
      </c>
      <c r="E46" s="51"/>
      <c r="F46" s="163" t="s">
        <v>43</v>
      </c>
      <c r="G46" s="170">
        <v>44872</v>
      </c>
      <c r="H46" s="86">
        <f t="shared" si="5"/>
        <v>0.48473587555363506</v>
      </c>
      <c r="I46" s="113">
        <f>+G46/National!G47</f>
        <v>5.6329237312018809E-3</v>
      </c>
    </row>
    <row r="47" spans="1:9">
      <c r="A47" s="8" t="s">
        <v>2</v>
      </c>
      <c r="B47" s="52">
        <v>3611</v>
      </c>
      <c r="C47" s="97">
        <f>B47/B$48</f>
        <v>1</v>
      </c>
      <c r="D47" s="78">
        <f>B47/National!B49</f>
        <v>1.820894754703642E-3</v>
      </c>
      <c r="E47" s="51"/>
      <c r="F47" s="9" t="s">
        <v>1</v>
      </c>
      <c r="G47" s="191">
        <f>SUM(G41:G46)</f>
        <v>92570</v>
      </c>
      <c r="H47" s="182">
        <f>SUM(H41:H46)</f>
        <v>1</v>
      </c>
      <c r="I47" s="188">
        <f>+G47/National!G49</f>
        <v>5.1025416290668643E-4</v>
      </c>
    </row>
    <row r="48" spans="1:9">
      <c r="A48" s="9" t="s">
        <v>1</v>
      </c>
      <c r="B48" s="155">
        <f>SUM(B46:B47)</f>
        <v>3611</v>
      </c>
      <c r="C48" s="165">
        <f>SUM(C46:C47)</f>
        <v>1</v>
      </c>
      <c r="D48" s="177">
        <f>B48/National!B50</f>
        <v>1.2143901363675037E-3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 t="s">
        <v>197</v>
      </c>
      <c r="D50" s="119" t="s">
        <v>198</v>
      </c>
      <c r="E50" s="51"/>
      <c r="F50" s="163" t="s">
        <v>96</v>
      </c>
      <c r="G50" s="193">
        <v>24338</v>
      </c>
      <c r="H50" s="189">
        <f>G50/G$52</f>
        <v>0.8548647699332631</v>
      </c>
      <c r="I50" s="113">
        <f>+G50/National!G52</f>
        <v>7.7653727930920922E-4</v>
      </c>
    </row>
    <row r="51" spans="1:9">
      <c r="A51" s="146" t="s">
        <v>5</v>
      </c>
      <c r="B51" s="149">
        <v>417</v>
      </c>
      <c r="C51" s="174">
        <f>B51/B$57</f>
        <v>0.11548047632234838</v>
      </c>
      <c r="D51" s="77">
        <f>B51/National!B53</f>
        <v>5.7966501756371105E-4</v>
      </c>
      <c r="E51" s="51"/>
      <c r="F51" s="163" t="s">
        <v>97</v>
      </c>
      <c r="G51" s="194">
        <v>4132</v>
      </c>
      <c r="H51" s="86">
        <f>G51/G$52</f>
        <v>0.14513523006673693</v>
      </c>
      <c r="I51" s="113">
        <f>+G51/National!G53</f>
        <v>8.193810183208598E-4</v>
      </c>
    </row>
    <row r="52" spans="1:9">
      <c r="A52" s="146" t="s">
        <v>7</v>
      </c>
      <c r="B52" s="157">
        <v>1028</v>
      </c>
      <c r="C52" s="175">
        <f t="shared" ref="C52:C56" si="6">B52/B$57</f>
        <v>0.28468568263638883</v>
      </c>
      <c r="D52" s="78">
        <f>B52/National!B54</f>
        <v>1.5010213661922681E-3</v>
      </c>
      <c r="E52" s="51"/>
      <c r="F52" s="60" t="s">
        <v>1</v>
      </c>
      <c r="G52" s="190">
        <f>SUM(G50:G51)</f>
        <v>28470</v>
      </c>
      <c r="H52" s="185">
        <f>SUM(H50:H51)</f>
        <v>1</v>
      </c>
      <c r="I52" s="192">
        <f>+G52/National!G54</f>
        <v>7.8247534467461766E-4</v>
      </c>
    </row>
    <row r="53" spans="1:9">
      <c r="A53" s="146" t="s">
        <v>6</v>
      </c>
      <c r="B53" s="157">
        <v>736</v>
      </c>
      <c r="C53" s="175">
        <f t="shared" si="6"/>
        <v>0.20382165605095542</v>
      </c>
      <c r="D53" s="78">
        <f>B53/National!B55</f>
        <v>1.3912833076248374E-3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298</f>
        <v>298</v>
      </c>
      <c r="C54" s="175">
        <f t="shared" si="6"/>
        <v>8.2525616172805322E-2</v>
      </c>
      <c r="D54" s="78">
        <f>B54/National!B56</f>
        <v>7.1540546444938988E-4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v>736</v>
      </c>
      <c r="C55" s="175">
        <f t="shared" si="6"/>
        <v>0.20382165605095542</v>
      </c>
      <c r="D55" s="78">
        <f>B55/National!B57</f>
        <v>1.8350362270059489E-3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396</v>
      </c>
      <c r="C56" s="175">
        <f t="shared" si="6"/>
        <v>0.10966491276654666</v>
      </c>
      <c r="D56" s="78">
        <f>B56/National!B58</f>
        <v>1.7787839586028461E-3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3611</v>
      </c>
      <c r="C57" s="178">
        <f>SUM(C51:C56)</f>
        <v>1</v>
      </c>
      <c r="D57" s="177">
        <f>B57/National!B59</f>
        <v>1.2143901363675037E-3</v>
      </c>
      <c r="E57" s="51"/>
      <c r="F57" s="51"/>
      <c r="G57" s="51"/>
      <c r="H57" s="87"/>
      <c r="I57" s="87"/>
    </row>
    <row r="58" spans="1:9">
      <c r="B58" s="49"/>
      <c r="C58" s="49"/>
      <c r="D58" s="49"/>
      <c r="E58" s="49"/>
      <c r="F58" s="49"/>
      <c r="G58" s="49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49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18328340</v>
      </c>
      <c r="C4" s="99"/>
      <c r="D4" s="77">
        <f>B4/National!B4</f>
        <v>6.0278749710369402E-2</v>
      </c>
      <c r="E4" s="1"/>
      <c r="F4" s="146" t="s">
        <v>10</v>
      </c>
      <c r="G4" s="195">
        <v>6875435</v>
      </c>
      <c r="H4" s="189">
        <f>G4/G$6</f>
        <v>0.48991815784755766</v>
      </c>
      <c r="I4" s="112">
        <f>+G4/National!G4</f>
        <v>6.6353570332583198E-2</v>
      </c>
    </row>
    <row r="5" spans="1:9">
      <c r="A5" s="8" t="s">
        <v>167</v>
      </c>
      <c r="B5" s="50">
        <f>44389+9538</f>
        <v>53927</v>
      </c>
      <c r="C5" s="100"/>
      <c r="D5" s="79">
        <f>B5/National!B5</f>
        <v>1.5244635882266305E-2</v>
      </c>
      <c r="E5" s="1"/>
      <c r="F5" s="146" t="s">
        <v>11</v>
      </c>
      <c r="G5" s="196">
        <v>7158409</v>
      </c>
      <c r="H5" s="86">
        <f>G5/G$6</f>
        <v>0.51008184215244234</v>
      </c>
      <c r="I5" s="113">
        <f>+G5/National!G5</f>
        <v>6.836907591044751E-2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14033844</v>
      </c>
      <c r="H6" s="182">
        <f>SUM(H4:H5)</f>
        <v>1</v>
      </c>
      <c r="I6" s="183">
        <f>+G6/National!G6</f>
        <v>6.7366568321296269E-2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8261608</v>
      </c>
      <c r="C8" s="174">
        <f>B8/B10</f>
        <v>0.84670846706622294</v>
      </c>
      <c r="D8" s="77">
        <f>B8/National!B8</f>
        <v>6.0477580189357102E-2</v>
      </c>
      <c r="E8" s="1"/>
      <c r="F8" s="146" t="s">
        <v>32</v>
      </c>
      <c r="G8" s="206">
        <f>15.6/100</f>
        <v>0.156</v>
      </c>
      <c r="H8" s="87"/>
      <c r="I8" s="87"/>
    </row>
    <row r="9" spans="1:9">
      <c r="A9" s="146" t="s">
        <v>169</v>
      </c>
      <c r="B9" s="150">
        <v>1495715</v>
      </c>
      <c r="C9" s="175">
        <f>B9/B10</f>
        <v>0.15329153293377701</v>
      </c>
      <c r="D9" s="78">
        <f>B9/National!B9</f>
        <v>3.878886994401539E-2</v>
      </c>
      <c r="E9" s="1"/>
      <c r="F9" s="146" t="s">
        <v>31</v>
      </c>
      <c r="G9" s="207">
        <f>15.6/100</f>
        <v>0.156</v>
      </c>
      <c r="H9" s="87"/>
      <c r="I9" s="87"/>
    </row>
    <row r="10" spans="1:9">
      <c r="A10" s="9" t="s">
        <v>9</v>
      </c>
      <c r="B10" s="152">
        <f>SUM(B8:B9)</f>
        <v>9757323</v>
      </c>
      <c r="C10" s="176">
        <f>SUM(C8:C9)</f>
        <v>1</v>
      </c>
      <c r="D10" s="165"/>
      <c r="E10" s="1"/>
      <c r="F10" s="146" t="s">
        <v>33</v>
      </c>
      <c r="G10" s="205">
        <f>15.6/100</f>
        <v>0.156</v>
      </c>
      <c r="H10" s="87"/>
      <c r="I10" s="87"/>
    </row>
    <row r="11" spans="1:9">
      <c r="A11" s="146" t="s">
        <v>170</v>
      </c>
      <c r="B11" s="149">
        <v>356084</v>
      </c>
      <c r="C11" s="93">
        <f>B11/(B12+B11)</f>
        <v>4.312291770588364E-2</v>
      </c>
      <c r="D11" s="77">
        <f>B11/National!B11</f>
        <v>9.441702754099543E-2</v>
      </c>
      <c r="E11" s="1"/>
      <c r="G11" s="49"/>
      <c r="H11" s="87"/>
      <c r="I11" s="86"/>
    </row>
    <row r="12" spans="1:9" ht="23.25">
      <c r="A12" s="146" t="s">
        <v>171</v>
      </c>
      <c r="B12" s="150">
        <v>7901335</v>
      </c>
      <c r="C12" s="95">
        <f>B12/(B11+B12)</f>
        <v>0.95687708229411639</v>
      </c>
      <c r="D12" s="79">
        <f>B12/National!B12</f>
        <v>5.9765831952685922E-2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f>8180462</f>
        <v>8180462</v>
      </c>
      <c r="H13" s="189">
        <f>G13/G$18</f>
        <v>0.47757932564937194</v>
      </c>
      <c r="I13" s="92">
        <f>+G13/National!G13</f>
        <v>5.9676622185801602E-2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8230776</v>
      </c>
      <c r="H14" s="86">
        <f>G14/G$18</f>
        <v>0.48051668128903174</v>
      </c>
      <c r="I14" s="106">
        <f>+G14/National!G14</f>
        <v>7.4661261906543486E-2</v>
      </c>
    </row>
    <row r="15" spans="1:9">
      <c r="A15" s="146" t="s">
        <v>3</v>
      </c>
      <c r="B15" s="149">
        <v>40366</v>
      </c>
      <c r="C15" s="174">
        <f>B15/B$17</f>
        <v>0.33254246782989799</v>
      </c>
      <c r="D15" s="77">
        <f>B15/National!B15</f>
        <v>1.3558249485763268E-2</v>
      </c>
      <c r="E15" s="3"/>
      <c r="F15" s="146" t="s">
        <v>13</v>
      </c>
      <c r="G15" s="150">
        <v>50687</v>
      </c>
      <c r="H15" s="86">
        <f>G15/G$18</f>
        <v>2.9591315599522029E-3</v>
      </c>
      <c r="I15" s="106">
        <f>+G15/National!G15</f>
        <v>6.0104967580053785E-2</v>
      </c>
    </row>
    <row r="16" spans="1:9">
      <c r="A16" s="146" t="s">
        <v>2</v>
      </c>
      <c r="B16" s="150">
        <v>81020</v>
      </c>
      <c r="C16" s="175">
        <f>B16/B$17</f>
        <v>0.66745753217010195</v>
      </c>
      <c r="D16" s="78">
        <f>B16/National!B16</f>
        <v>7.603656362032396E-2</v>
      </c>
      <c r="E16" s="1"/>
      <c r="F16" s="9" t="s">
        <v>1</v>
      </c>
      <c r="G16" s="162">
        <v>16461925</v>
      </c>
      <c r="H16" s="105"/>
      <c r="I16" s="106"/>
    </row>
    <row r="17" spans="1:9">
      <c r="A17" s="9" t="s">
        <v>1</v>
      </c>
      <c r="B17" s="154">
        <f>SUM(B15:B16)</f>
        <v>121386</v>
      </c>
      <c r="C17" s="176">
        <f>SUM(C15:C16)</f>
        <v>1</v>
      </c>
      <c r="D17" s="177">
        <f>B17/National!B17</f>
        <v>3.002546769935846E-2</v>
      </c>
      <c r="E17" s="1"/>
      <c r="F17" s="108" t="s">
        <v>35</v>
      </c>
      <c r="G17" s="117">
        <v>667087</v>
      </c>
      <c r="H17" s="105">
        <f>G17/G$18</f>
        <v>3.8944861501644112E-2</v>
      </c>
      <c r="I17" s="106">
        <f>+G17/National!G17</f>
        <v>8.6562008205060062E-2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17129012</v>
      </c>
      <c r="H18" s="185">
        <f>SUM(H13:H17)</f>
        <v>1</v>
      </c>
      <c r="I18" s="186">
        <f>+G18/National!G18</f>
        <v>6.6943883743509361E-2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749+722</f>
        <v>1471</v>
      </c>
      <c r="C20" s="174">
        <f>B20/B$26</f>
        <v>1.2118266371192961E-2</v>
      </c>
      <c r="D20" s="77">
        <f>B20/National!B20</f>
        <v>3.1464567602832026E-2</v>
      </c>
      <c r="E20" s="51"/>
      <c r="F20" s="163" t="s">
        <v>3</v>
      </c>
      <c r="G20" s="108">
        <f>490+619</f>
        <v>1109</v>
      </c>
      <c r="H20" s="189">
        <f>G20/G$23</f>
        <v>0.37239758226997988</v>
      </c>
      <c r="I20" s="92">
        <f>+G20/National!G20</f>
        <v>5.3299370404190895E-2</v>
      </c>
    </row>
    <row r="21" spans="1:9">
      <c r="A21" s="146" t="s">
        <v>7</v>
      </c>
      <c r="B21" s="157">
        <f>2858+3596</f>
        <v>6454</v>
      </c>
      <c r="C21" s="175">
        <f t="shared" ref="C21:C25" si="0">B21/B$26</f>
        <v>5.3168790727178367E-2</v>
      </c>
      <c r="D21" s="78">
        <f>B21/National!B21</f>
        <v>4.046242774566474E-2</v>
      </c>
      <c r="E21" s="51"/>
      <c r="F21" s="163" t="s">
        <v>2</v>
      </c>
      <c r="G21" s="198">
        <f>1379+369</f>
        <v>1748</v>
      </c>
      <c r="H21" s="86">
        <f t="shared" ref="H21:H22" si="1">G21/G$23</f>
        <v>0.58697112155809272</v>
      </c>
      <c r="I21" s="106">
        <f>+G21/National!G21</f>
        <v>0.10955126598144899</v>
      </c>
    </row>
    <row r="22" spans="1:9">
      <c r="A22" s="146" t="s">
        <v>6</v>
      </c>
      <c r="B22" s="157">
        <f>2400+4053</f>
        <v>6453</v>
      </c>
      <c r="C22" s="175">
        <f t="shared" si="0"/>
        <v>5.3160552612718001E-2</v>
      </c>
      <c r="D22" s="78">
        <f>B22/National!B22</f>
        <v>2.6754285951201311E-2</v>
      </c>
      <c r="E22" s="51"/>
      <c r="F22" s="163" t="s">
        <v>28</v>
      </c>
      <c r="G22" s="181">
        <v>121</v>
      </c>
      <c r="H22" s="86">
        <f t="shared" si="1"/>
        <v>4.063129617192747E-2</v>
      </c>
      <c r="I22" s="106">
        <f>+G22/National!G22</f>
        <v>0.2429718875502008</v>
      </c>
    </row>
    <row r="23" spans="1:9">
      <c r="A23" s="146" t="s">
        <v>30</v>
      </c>
      <c r="B23" s="157">
        <f>4119+3339+6831</f>
        <v>14289</v>
      </c>
      <c r="C23" s="175">
        <f t="shared" si="0"/>
        <v>0.11771441752411708</v>
      </c>
      <c r="D23" s="78">
        <f>B23/National!B23</f>
        <v>1.7980664085356875E-2</v>
      </c>
      <c r="E23" s="51"/>
      <c r="F23" s="9" t="s">
        <v>1</v>
      </c>
      <c r="G23" s="197">
        <f>SUM(G20:G22)</f>
        <v>2978</v>
      </c>
      <c r="H23" s="132">
        <f>SUM(H20:H22)</f>
        <v>1</v>
      </c>
      <c r="I23" s="133">
        <f>+G23/National!G23</f>
        <v>7.9922707388422207E-2</v>
      </c>
    </row>
    <row r="24" spans="1:9">
      <c r="A24" s="146" t="s">
        <v>8</v>
      </c>
      <c r="B24" s="157">
        <f>26901+65235</f>
        <v>92136</v>
      </c>
      <c r="C24" s="175">
        <f t="shared" si="0"/>
        <v>0.75902691391994204</v>
      </c>
      <c r="D24" s="78">
        <f>B24/National!B24</f>
        <v>3.3031896128926784E-2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584</v>
      </c>
      <c r="C25" s="175">
        <f t="shared" si="0"/>
        <v>4.8110588448515906E-3</v>
      </c>
      <c r="D25" s="78">
        <f>B25/National!B25</f>
        <v>5.1521835024261137E-2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121387</v>
      </c>
      <c r="C26" s="176">
        <f>SUM(C20:C25)</f>
        <v>1</v>
      </c>
      <c r="D26" s="177">
        <f>B26/National!B26</f>
        <v>3.0025640784628788E-2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8243106</v>
      </c>
      <c r="H27" s="87"/>
      <c r="I27" s="113">
        <f>+G27/National!G27</f>
        <v>5.9698393947728197E-2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8547900</v>
      </c>
      <c r="H28" s="87"/>
      <c r="I28" s="114">
        <f>+G28/National!G28</f>
        <v>6.4279270921361487E-2</v>
      </c>
    </row>
    <row r="29" spans="1:9">
      <c r="A29" s="146" t="s">
        <v>91</v>
      </c>
      <c r="B29" s="149">
        <f>5968+6116</f>
        <v>12084</v>
      </c>
      <c r="C29" s="174">
        <f>B29/B$34</f>
        <v>9.9550195244921161E-2</v>
      </c>
      <c r="D29" s="77">
        <f>B29/National!B29</f>
        <v>1.5497612644328251E-2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29308+40496</f>
        <v>69804</v>
      </c>
      <c r="C30" s="175">
        <f t="shared" ref="C30:C33" si="2">B30/B$34</f>
        <v>0.57505807918540852</v>
      </c>
      <c r="D30" s="78">
        <f>B30/National!B30</f>
        <v>3.9039264090521164E-2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3185+34258</f>
        <v>37443</v>
      </c>
      <c r="C31" s="175">
        <f t="shared" si="2"/>
        <v>0.30846226088675793</v>
      </c>
      <c r="D31" s="78">
        <f>B31/National!B31</f>
        <v>2.9105904667143436E-2</v>
      </c>
      <c r="E31" s="51"/>
      <c r="F31" s="163" t="s">
        <v>16</v>
      </c>
      <c r="G31" s="168">
        <v>3917831</v>
      </c>
      <c r="H31" s="92">
        <f>G31/G$38</f>
        <v>0.27751513365643021</v>
      </c>
      <c r="I31" s="112">
        <f>+G31/National!G31</f>
        <v>9.274767146666435E-2</v>
      </c>
    </row>
    <row r="32" spans="1:9">
      <c r="A32" s="146" t="s">
        <v>94</v>
      </c>
      <c r="B32" s="157">
        <v>0</v>
      </c>
      <c r="C32" s="175">
        <f t="shared" si="2"/>
        <v>0</v>
      </c>
      <c r="D32" s="78">
        <f>B32/National!B32</f>
        <v>0</v>
      </c>
      <c r="E32" s="51"/>
      <c r="F32" s="163" t="s">
        <v>17</v>
      </c>
      <c r="G32" s="169">
        <v>4415027</v>
      </c>
      <c r="H32" s="106">
        <f t="shared" ref="H32:H37" si="3">G32/G$38</f>
        <v>0.31273345072866804</v>
      </c>
      <c r="I32" s="113">
        <f>+G32/National!G32</f>
        <v>7.0967186500673796E-2</v>
      </c>
    </row>
    <row r="33" spans="1:9">
      <c r="A33" s="146" t="s">
        <v>95</v>
      </c>
      <c r="B33" s="150">
        <f>1905+150</f>
        <v>2055</v>
      </c>
      <c r="C33" s="175">
        <f t="shared" si="2"/>
        <v>1.6929464682912364E-2</v>
      </c>
      <c r="D33" s="78">
        <f>B33/National!B33</f>
        <v>1.5623574491378524E-2</v>
      </c>
      <c r="E33" s="51"/>
      <c r="F33" s="163" t="s">
        <v>18</v>
      </c>
      <c r="G33" s="169">
        <v>1789324</v>
      </c>
      <c r="H33" s="106">
        <f t="shared" si="3"/>
        <v>0.12674474448097897</v>
      </c>
      <c r="I33" s="113">
        <f>+G33/National!G33</f>
        <v>5.6325922542995198E-2</v>
      </c>
    </row>
    <row r="34" spans="1:9">
      <c r="A34" s="9" t="s">
        <v>1</v>
      </c>
      <c r="B34" s="154">
        <f>SUM(B29:B33)</f>
        <v>121386</v>
      </c>
      <c r="C34" s="176">
        <f>SUM(C29:C33)</f>
        <v>1</v>
      </c>
      <c r="D34" s="180">
        <f>B34/National!B34</f>
        <v>3.002546769935846E-2</v>
      </c>
      <c r="E34" s="51"/>
      <c r="F34" s="163" t="s">
        <v>19</v>
      </c>
      <c r="G34" s="169">
        <v>417459</v>
      </c>
      <c r="H34" s="106">
        <f t="shared" si="3"/>
        <v>2.9570236740961951E-2</v>
      </c>
      <c r="I34" s="113">
        <f>+G34/National!G34</f>
        <v>4.8609820544027009E-2</v>
      </c>
    </row>
    <row r="35" spans="1:9">
      <c r="B35" s="49"/>
      <c r="C35" s="96"/>
      <c r="D35" s="96"/>
      <c r="E35" s="51"/>
      <c r="F35" s="163" t="s">
        <v>20</v>
      </c>
      <c r="G35" s="169">
        <v>1215326</v>
      </c>
      <c r="H35" s="106">
        <f t="shared" si="3"/>
        <v>8.6086244487354024E-2</v>
      </c>
      <c r="I35" s="113">
        <f>+G35/National!G35</f>
        <v>9.1158176116408737E-2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824337</v>
      </c>
      <c r="H36" s="106">
        <f t="shared" si="3"/>
        <v>5.839098029826726E-2</v>
      </c>
      <c r="I36" s="113">
        <f>+G36/National!G36</f>
        <v>5.210538861081563E-2</v>
      </c>
    </row>
    <row r="37" spans="1:9">
      <c r="A37" s="146" t="s">
        <v>5</v>
      </c>
      <c r="B37" s="149">
        <f>3442+4180</f>
        <v>7622</v>
      </c>
      <c r="C37" s="174">
        <f>B37/B$43</f>
        <v>2.8462282434566999E-2</v>
      </c>
      <c r="D37" s="77">
        <f>B37/National!B37</f>
        <v>3.5685525404048915E-2</v>
      </c>
      <c r="E37" s="51"/>
      <c r="F37" s="163" t="s">
        <v>22</v>
      </c>
      <c r="G37" s="170">
        <v>1538236</v>
      </c>
      <c r="H37" s="106">
        <f t="shared" si="3"/>
        <v>0.10895920960733953</v>
      </c>
      <c r="I37" s="114">
        <f>+G37/National!G37</f>
        <v>5.9955799321075511E-2</v>
      </c>
    </row>
    <row r="38" spans="1:9">
      <c r="A38" s="146" t="s">
        <v>7</v>
      </c>
      <c r="B38" s="157">
        <f>8192+15504</f>
        <v>23696</v>
      </c>
      <c r="C38" s="175">
        <f t="shared" ref="C38:C42" si="4">B38/B$43</f>
        <v>8.8486256175478825E-2</v>
      </c>
      <c r="D38" s="78">
        <f>B38/National!B38</f>
        <v>4.962326027500534E-2</v>
      </c>
      <c r="E38" s="51"/>
      <c r="F38" s="47" t="s">
        <v>1</v>
      </c>
      <c r="G38" s="187">
        <f>SUM(G31:G37)</f>
        <v>14117540</v>
      </c>
      <c r="H38" s="188">
        <f>SUM(H31:H37)</f>
        <v>0.99999999999999989</v>
      </c>
      <c r="I38" s="188">
        <f>+G38/National!G39</f>
        <v>7.013887537467306E-2</v>
      </c>
    </row>
    <row r="39" spans="1:9">
      <c r="A39" s="146" t="s">
        <v>6</v>
      </c>
      <c r="B39" s="157">
        <f>5015+13452</f>
        <v>18467</v>
      </c>
      <c r="C39" s="175">
        <f t="shared" si="4"/>
        <v>6.8959980283278502E-2</v>
      </c>
      <c r="D39" s="78">
        <f>B39/National!B39</f>
        <v>3.3413246243339335E-2</v>
      </c>
      <c r="E39" s="51"/>
      <c r="H39" s="87"/>
      <c r="I39" s="87"/>
    </row>
    <row r="40" spans="1:9" ht="23.25">
      <c r="A40" s="146" t="s">
        <v>30</v>
      </c>
      <c r="B40" s="157">
        <f>8299+6679+16021</f>
        <v>30999</v>
      </c>
      <c r="C40" s="175">
        <f t="shared" si="4"/>
        <v>0.11575732001956736</v>
      </c>
      <c r="D40" s="78">
        <f>B40/National!B40</f>
        <v>1.9268470668090506E-2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53802+130469</f>
        <v>184271</v>
      </c>
      <c r="C41" s="175">
        <f t="shared" si="4"/>
        <v>0.6881098460377979</v>
      </c>
      <c r="D41" s="78">
        <f>B41/National!B41</f>
        <v>3.3031740557315059E-2</v>
      </c>
      <c r="E41" s="51"/>
      <c r="F41" s="163" t="s">
        <v>38</v>
      </c>
      <c r="G41" s="168">
        <v>7736458</v>
      </c>
      <c r="H41" s="189">
        <f>G41/G$47</f>
        <v>0.64182688159625567</v>
      </c>
      <c r="I41" s="113">
        <f>+G41/National!G42</f>
        <v>8.530857978400741E-2</v>
      </c>
    </row>
    <row r="42" spans="1:9">
      <c r="A42" s="156" t="s">
        <v>29</v>
      </c>
      <c r="B42" s="150">
        <v>2738</v>
      </c>
      <c r="C42" s="175">
        <f t="shared" si="4"/>
        <v>1.0224315049310475E-2</v>
      </c>
      <c r="D42" s="78">
        <f>B42/National!B42</f>
        <v>5.1875710496400149E-2</v>
      </c>
      <c r="E42" s="51"/>
      <c r="F42" s="163" t="s">
        <v>39</v>
      </c>
      <c r="G42" s="169">
        <v>2002300</v>
      </c>
      <c r="H42" s="86">
        <f t="shared" ref="H42:H46" si="5">G42/G$47</f>
        <v>0.16611348048683039</v>
      </c>
      <c r="I42" s="113">
        <f>+G42/National!G43</f>
        <v>4.4959480445073481E-2</v>
      </c>
    </row>
    <row r="43" spans="1:9">
      <c r="A43" s="9" t="s">
        <v>1</v>
      </c>
      <c r="B43" s="154">
        <f>SUM(B37:B42)</f>
        <v>267793</v>
      </c>
      <c r="C43" s="178">
        <f>SUM(C37:C42)</f>
        <v>1</v>
      </c>
      <c r="D43" s="179">
        <f>B43/National!B43</f>
        <v>3.1564589639589677E-2</v>
      </c>
      <c r="E43" s="51"/>
      <c r="F43" s="163" t="s">
        <v>40</v>
      </c>
      <c r="G43" s="169">
        <v>498894</v>
      </c>
      <c r="H43" s="86">
        <f t="shared" si="5"/>
        <v>4.1388912118062608E-2</v>
      </c>
      <c r="I43" s="113">
        <f>+G43/National!G44</f>
        <v>3.8080677201505993E-2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984183</v>
      </c>
      <c r="H44" s="86">
        <f t="shared" si="5"/>
        <v>8.164913527741606E-2</v>
      </c>
      <c r="I44" s="113">
        <f>+G44/National!G45</f>
        <v>6.6848859331730792E-2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498196</v>
      </c>
      <c r="H45" s="86">
        <f t="shared" si="5"/>
        <v>4.1331005106436072E-2</v>
      </c>
      <c r="I45" s="113">
        <f>+G45/National!G46</f>
        <v>5.9887568661792998E-2</v>
      </c>
    </row>
    <row r="46" spans="1:9">
      <c r="A46" s="8" t="s">
        <v>3</v>
      </c>
      <c r="B46" s="52">
        <v>36044</v>
      </c>
      <c r="C46" s="93">
        <f>B46/B$48</f>
        <v>0.18147581262335361</v>
      </c>
      <c r="D46" s="77">
        <f>B46/National!B48</f>
        <v>3.6392714995082884E-2</v>
      </c>
      <c r="E46" s="51"/>
      <c r="F46" s="163" t="s">
        <v>43</v>
      </c>
      <c r="G46" s="170">
        <v>333777</v>
      </c>
      <c r="H46" s="86">
        <f t="shared" si="5"/>
        <v>2.7690585414999143E-2</v>
      </c>
      <c r="I46" s="113">
        <f>+G46/National!G47</f>
        <v>4.1900079876746529E-2</v>
      </c>
    </row>
    <row r="47" spans="1:9">
      <c r="A47" s="8" t="s">
        <v>2</v>
      </c>
      <c r="B47" s="52">
        <v>162572</v>
      </c>
      <c r="C47" s="97">
        <f>B47/B$48</f>
        <v>0.81852418737664634</v>
      </c>
      <c r="D47" s="78">
        <f>B47/National!B49</f>
        <v>8.1979092235303377E-2</v>
      </c>
      <c r="E47" s="51"/>
      <c r="F47" s="9" t="s">
        <v>1</v>
      </c>
      <c r="G47" s="191">
        <f>SUM(G41:G46)</f>
        <v>12053808</v>
      </c>
      <c r="H47" s="182">
        <f>SUM(H41:H46)</f>
        <v>0.99999999999999989</v>
      </c>
      <c r="I47" s="188">
        <f>+G47/National!G49</f>
        <v>6.6441673445802304E-2</v>
      </c>
    </row>
    <row r="48" spans="1:9">
      <c r="A48" s="9" t="s">
        <v>1</v>
      </c>
      <c r="B48" s="155">
        <f>SUM(B46:B47)</f>
        <v>198616</v>
      </c>
      <c r="C48" s="165">
        <f>SUM(C46:C47)</f>
        <v>1</v>
      </c>
      <c r="D48" s="177">
        <f>B48/National!B50</f>
        <v>6.6795156833222971E-2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1697353</v>
      </c>
      <c r="H50" s="189">
        <f>G50/G$52</f>
        <v>0.8563545751205307</v>
      </c>
      <c r="I50" s="113">
        <f>+G50/National!G52</f>
        <v>5.4156376064069527E-2</v>
      </c>
    </row>
    <row r="51" spans="1:9">
      <c r="A51" s="146" t="s">
        <v>5</v>
      </c>
      <c r="B51" s="149">
        <f>9591+24638</f>
        <v>34229</v>
      </c>
      <c r="C51" s="174">
        <f>B51/B$57</f>
        <v>0.17233757602610061</v>
      </c>
      <c r="D51" s="77">
        <f>B51/National!B53</f>
        <v>4.7581184379348357E-2</v>
      </c>
      <c r="E51" s="51"/>
      <c r="F51" s="163" t="s">
        <v>97</v>
      </c>
      <c r="G51" s="194">
        <v>284715</v>
      </c>
      <c r="H51" s="86">
        <f>G51/G$52</f>
        <v>0.14364542487946932</v>
      </c>
      <c r="I51" s="113">
        <f>+G51/National!G53</f>
        <v>5.6459357848795647E-2</v>
      </c>
    </row>
    <row r="52" spans="1:9">
      <c r="A52" s="146" t="s">
        <v>7</v>
      </c>
      <c r="B52" s="157">
        <f>10187+39596</f>
        <v>49783</v>
      </c>
      <c r="C52" s="175">
        <f t="shared" ref="C52:C56" si="6">B52/B$57</f>
        <v>0.25064949450195351</v>
      </c>
      <c r="D52" s="78">
        <f>B52/National!B54</f>
        <v>7.2690025946643658E-2</v>
      </c>
      <c r="E52" s="51"/>
      <c r="F52" s="60" t="s">
        <v>1</v>
      </c>
      <c r="G52" s="190">
        <f>SUM(G50:G51)</f>
        <v>1982068</v>
      </c>
      <c r="H52" s="185">
        <f>SUM(H50:H51)</f>
        <v>1</v>
      </c>
      <c r="I52" s="192">
        <f>+G52/National!G54</f>
        <v>5.4475565207886552E-2</v>
      </c>
    </row>
    <row r="53" spans="1:9">
      <c r="A53" s="146" t="s">
        <v>6</v>
      </c>
      <c r="B53" s="157">
        <f>4502+28869</f>
        <v>33371</v>
      </c>
      <c r="C53" s="175">
        <f t="shared" si="6"/>
        <v>0.16801768236194467</v>
      </c>
      <c r="D53" s="78">
        <f>B53/National!B55</f>
        <v>6.3082221818951692E-2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3528+1800+20336</f>
        <v>25664</v>
      </c>
      <c r="C54" s="175">
        <f t="shared" si="6"/>
        <v>0.12921416200104724</v>
      </c>
      <c r="D54" s="78">
        <f>B54/National!B56</f>
        <v>6.1611294763856177E-2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36586+6436</f>
        <v>43022</v>
      </c>
      <c r="C55" s="175">
        <f t="shared" si="6"/>
        <v>0.21660893382204857</v>
      </c>
      <c r="D55" s="78">
        <f>B55/National!B57</f>
        <v>0.10726484858457871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12547</v>
      </c>
      <c r="C56" s="175">
        <f t="shared" si="6"/>
        <v>6.3172151286905384E-2</v>
      </c>
      <c r="D56" s="78">
        <f>B56/National!B58</f>
        <v>5.6359601839873506E-2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198616</v>
      </c>
      <c r="C57" s="178">
        <f>SUM(C51:C56)</f>
        <v>1</v>
      </c>
      <c r="D57" s="177">
        <f>B57/National!B59</f>
        <v>6.6795156833222971E-2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50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9685744</v>
      </c>
      <c r="C4" s="99"/>
      <c r="D4" s="77">
        <f>B4/National!B4</f>
        <v>3.185474180066019E-2</v>
      </c>
      <c r="E4" s="1"/>
      <c r="F4" s="146" t="s">
        <v>10</v>
      </c>
      <c r="G4" s="195">
        <v>3001754</v>
      </c>
      <c r="H4" s="189">
        <f>G4/G$6</f>
        <v>0.47970622058322482</v>
      </c>
      <c r="I4" s="112">
        <f>+G4/National!G4</f>
        <v>2.8969380869735946E-2</v>
      </c>
    </row>
    <row r="5" spans="1:9">
      <c r="A5" s="8" t="s">
        <v>167</v>
      </c>
      <c r="B5" s="50">
        <f>48241+9665</f>
        <v>57906</v>
      </c>
      <c r="C5" s="100"/>
      <c r="D5" s="79">
        <f>B5/National!B5</f>
        <v>1.6369460296298936E-2</v>
      </c>
      <c r="E5" s="1"/>
      <c r="F5" s="146" t="s">
        <v>11</v>
      </c>
      <c r="G5" s="196">
        <v>3255730</v>
      </c>
      <c r="H5" s="86">
        <f>G5/G$6</f>
        <v>0.52029377941677513</v>
      </c>
      <c r="I5" s="113">
        <f>+G5/National!G5</f>
        <v>3.1095073152975931E-2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6257484</v>
      </c>
      <c r="H6" s="182">
        <f>SUM(H4:H5)</f>
        <v>1</v>
      </c>
      <c r="I6" s="183">
        <f>+G6/National!G6</f>
        <v>3.0037758963646615E-2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4767155</v>
      </c>
      <c r="C8" s="174">
        <f>B8/B10</f>
        <v>0.78103373589040526</v>
      </c>
      <c r="D8" s="77">
        <f>B8/National!B8</f>
        <v>3.489708042158314E-2</v>
      </c>
      <c r="E8" s="1"/>
      <c r="F8" s="146" t="s">
        <v>32</v>
      </c>
      <c r="G8" s="206">
        <f>7.5/100</f>
        <v>7.4999999999999997E-2</v>
      </c>
      <c r="H8" s="87"/>
      <c r="I8" s="87"/>
    </row>
    <row r="9" spans="1:9">
      <c r="A9" s="146" t="s">
        <v>169</v>
      </c>
      <c r="B9" s="150">
        <v>1336493</v>
      </c>
      <c r="C9" s="175">
        <f>B9/B10</f>
        <v>0.2189662641095948</v>
      </c>
      <c r="D9" s="78">
        <f>B9/National!B9</f>
        <v>3.4659713353203621E-2</v>
      </c>
      <c r="E9" s="1"/>
      <c r="F9" s="146" t="s">
        <v>31</v>
      </c>
      <c r="G9" s="204">
        <f>7.5/100</f>
        <v>7.4999999999999997E-2</v>
      </c>
      <c r="H9" s="87"/>
      <c r="I9" s="87"/>
    </row>
    <row r="10" spans="1:9">
      <c r="A10" s="9" t="s">
        <v>9</v>
      </c>
      <c r="B10" s="152">
        <f>SUM(B8:B9)</f>
        <v>6103648</v>
      </c>
      <c r="C10" s="176">
        <f>SUM(C8:C9)</f>
        <v>1</v>
      </c>
      <c r="D10" s="165"/>
      <c r="E10" s="1"/>
      <c r="F10" s="146" t="s">
        <v>33</v>
      </c>
      <c r="G10" s="205">
        <f>7.5/100</f>
        <v>7.4999999999999997E-2</v>
      </c>
      <c r="H10" s="87"/>
      <c r="I10" s="87"/>
    </row>
    <row r="11" spans="1:9">
      <c r="A11" s="146" t="s">
        <v>170</v>
      </c>
      <c r="B11" s="149">
        <v>100105</v>
      </c>
      <c r="C11" s="93">
        <f>B11/(B12+B11)</f>
        <v>2.0998893260468086E-2</v>
      </c>
      <c r="D11" s="77">
        <f>B11/National!B11</f>
        <v>2.654322166115677E-2</v>
      </c>
      <c r="E11" s="1"/>
      <c r="G11" s="49"/>
      <c r="H11" s="87"/>
      <c r="I11" s="86"/>
    </row>
    <row r="12" spans="1:9" ht="23.25">
      <c r="A12" s="146" t="s">
        <v>171</v>
      </c>
      <c r="B12" s="150">
        <v>4667051</v>
      </c>
      <c r="C12" s="95">
        <f>B12/(B11+B12)</f>
        <v>0.97900110673953189</v>
      </c>
      <c r="D12" s="79">
        <f>B12/National!B12</f>
        <v>3.5301652920755135E-2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4260495</v>
      </c>
      <c r="H13" s="189">
        <f>G13/G$18</f>
        <v>0.48656094369979069</v>
      </c>
      <c r="I13" s="92">
        <f>+G13/National!G13</f>
        <v>3.1080390134383216E-2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4286294</v>
      </c>
      <c r="H14" s="86">
        <f>G14/G$18</f>
        <v>0.48950726467575967</v>
      </c>
      <c r="I14" s="106">
        <f>+G14/National!G14</f>
        <v>3.8880917053561649E-2</v>
      </c>
    </row>
    <row r="15" spans="1:9">
      <c r="A15" s="146" t="s">
        <v>3</v>
      </c>
      <c r="B15" s="149">
        <v>83261</v>
      </c>
      <c r="C15" s="174">
        <f>B15/B$17</f>
        <v>0.68316717948717953</v>
      </c>
      <c r="D15" s="77">
        <f>B15/National!B15</f>
        <v>2.7965946847201491E-2</v>
      </c>
      <c r="E15" s="3"/>
      <c r="F15" s="146" t="s">
        <v>13</v>
      </c>
      <c r="G15" s="150">
        <v>22836</v>
      </c>
      <c r="H15" s="86">
        <f>G15/G$18</f>
        <v>2.6079377420530759E-3</v>
      </c>
      <c r="I15" s="106">
        <f>+G15/National!G15</f>
        <v>2.7079074312113722E-2</v>
      </c>
    </row>
    <row r="16" spans="1:9">
      <c r="A16" s="146" t="s">
        <v>2</v>
      </c>
      <c r="B16" s="150">
        <v>38614</v>
      </c>
      <c r="C16" s="175">
        <f>B16/B$17</f>
        <v>0.31683282051282052</v>
      </c>
      <c r="D16" s="78">
        <f>B16/National!B16</f>
        <v>3.6238902340597255E-2</v>
      </c>
      <c r="E16" s="1"/>
      <c r="F16" s="9" t="s">
        <v>1</v>
      </c>
      <c r="G16" s="162">
        <v>8569625</v>
      </c>
      <c r="H16" s="105"/>
      <c r="I16" s="106"/>
    </row>
    <row r="17" spans="1:9">
      <c r="A17" s="9" t="s">
        <v>1</v>
      </c>
      <c r="B17" s="154">
        <f>SUM(B15:B16)</f>
        <v>121875</v>
      </c>
      <c r="C17" s="176">
        <f>SUM(C15:C16)</f>
        <v>1</v>
      </c>
      <c r="D17" s="177">
        <f>B17/National!B17</f>
        <v>3.01464244299945E-2</v>
      </c>
      <c r="E17" s="1"/>
      <c r="F17" s="108" t="s">
        <v>35</v>
      </c>
      <c r="G17" s="117">
        <v>186719</v>
      </c>
      <c r="H17" s="105">
        <f>G17/G$18</f>
        <v>2.132385388239658E-2</v>
      </c>
      <c r="I17" s="106">
        <f>+G17/National!G17</f>
        <v>2.4228881105523882E-2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8756344</v>
      </c>
      <c r="H18" s="185">
        <f>SUM(H13:H17)</f>
        <v>0.99999999999999989</v>
      </c>
      <c r="I18" s="186">
        <f>+G18/National!G18</f>
        <v>3.4221686268546936E-2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715+527</f>
        <v>1242</v>
      </c>
      <c r="C20" s="174">
        <f>B20/B$26</f>
        <v>1.019093646664971E-2</v>
      </c>
      <c r="D20" s="77">
        <f>B20/National!B20</f>
        <v>2.6566276657183804E-2</v>
      </c>
      <c r="E20" s="51"/>
      <c r="F20" s="163" t="s">
        <v>3</v>
      </c>
      <c r="G20" s="108">
        <f>551+148</f>
        <v>699</v>
      </c>
      <c r="H20" s="189">
        <f>G20/G$23</f>
        <v>0.46818486269256532</v>
      </c>
      <c r="I20" s="92">
        <f>+G20/National!G20</f>
        <v>3.3594463401739799E-2</v>
      </c>
    </row>
    <row r="21" spans="1:9">
      <c r="A21" s="146" t="s">
        <v>7</v>
      </c>
      <c r="B21" s="157">
        <f>2641+1944</f>
        <v>4585</v>
      </c>
      <c r="C21" s="175">
        <f t="shared" ref="C21:C25" si="0">B21/B$26</f>
        <v>3.7621130192905729E-2</v>
      </c>
      <c r="D21" s="78">
        <f>B21/National!B21</f>
        <v>2.87450001880807E-2</v>
      </c>
      <c r="E21" s="51"/>
      <c r="F21" s="163" t="s">
        <v>2</v>
      </c>
      <c r="G21" s="198">
        <f>572+114</f>
        <v>686</v>
      </c>
      <c r="H21" s="86">
        <f t="shared" ref="H21:H22" si="1">G21/G$23</f>
        <v>0.4594775619557937</v>
      </c>
      <c r="I21" s="106">
        <f>+G21/National!G21</f>
        <v>4.2993231386312357E-2</v>
      </c>
    </row>
    <row r="22" spans="1:9">
      <c r="A22" s="146" t="s">
        <v>6</v>
      </c>
      <c r="B22" s="157">
        <f>5187+4273</f>
        <v>9460</v>
      </c>
      <c r="C22" s="175">
        <f t="shared" si="0"/>
        <v>7.7621786613934179E-2</v>
      </c>
      <c r="D22" s="78">
        <f>B22/National!B22</f>
        <v>3.9221376894214226E-2</v>
      </c>
      <c r="E22" s="51"/>
      <c r="F22" s="163" t="s">
        <v>28</v>
      </c>
      <c r="G22" s="181">
        <v>108</v>
      </c>
      <c r="H22" s="86">
        <f t="shared" si="1"/>
        <v>7.2337575351640995E-2</v>
      </c>
      <c r="I22" s="106">
        <f>+G22/National!G22</f>
        <v>0.21686746987951808</v>
      </c>
    </row>
    <row r="23" spans="1:9">
      <c r="A23" s="146" t="s">
        <v>30</v>
      </c>
      <c r="B23" s="157">
        <f>12784+7416+2681</f>
        <v>22881</v>
      </c>
      <c r="C23" s="175">
        <f t="shared" si="0"/>
        <v>0.18774461939888246</v>
      </c>
      <c r="D23" s="78">
        <f>B23/National!B23</f>
        <v>2.8792467977958619E-2</v>
      </c>
      <c r="E23" s="51"/>
      <c r="F23" s="9" t="s">
        <v>1</v>
      </c>
      <c r="G23" s="197">
        <f>SUM(G20:G22)</f>
        <v>1493</v>
      </c>
      <c r="H23" s="132">
        <f>SUM(H20:H22)</f>
        <v>1</v>
      </c>
      <c r="I23" s="133">
        <f>+G23/National!G23</f>
        <v>4.0068704543624704E-2</v>
      </c>
    </row>
    <row r="24" spans="1:9">
      <c r="A24" s="146" t="s">
        <v>8</v>
      </c>
      <c r="B24" s="157">
        <f>54516+29075</f>
        <v>83591</v>
      </c>
      <c r="C24" s="175">
        <f t="shared" si="0"/>
        <v>0.68588612736209009</v>
      </c>
      <c r="D24" s="78">
        <f>B24/National!B24</f>
        <v>2.9968407889566718E-2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114</v>
      </c>
      <c r="C25" s="175">
        <f t="shared" si="0"/>
        <v>9.3539996553789601E-4</v>
      </c>
      <c r="D25" s="78">
        <f>B25/National!B25</f>
        <v>1.0057344508160565E-2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121873</v>
      </c>
      <c r="C26" s="176">
        <f>SUM(C20:C25)</f>
        <v>1</v>
      </c>
      <c r="D26" s="177">
        <f>B26/National!B26</f>
        <v>3.0145855152076122E-2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3402038</v>
      </c>
      <c r="H27" s="87"/>
      <c r="I27" s="113">
        <f>+G27/National!G27</f>
        <v>2.4638310455930245E-2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3817237</v>
      </c>
      <c r="H28" s="87"/>
      <c r="I28" s="114">
        <f>+G28/National!G28</f>
        <v>2.8705203768650212E-2</v>
      </c>
    </row>
    <row r="29" spans="1:9">
      <c r="A29" s="146" t="s">
        <v>91</v>
      </c>
      <c r="B29" s="149">
        <f>14012+3985</f>
        <v>17997</v>
      </c>
      <c r="C29" s="174">
        <f>B29/B$34</f>
        <v>0.14766769230769231</v>
      </c>
      <c r="D29" s="77">
        <f>B29/National!B29</f>
        <v>2.3080977719296222E-2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62499+22114</f>
        <v>84613</v>
      </c>
      <c r="C30" s="175">
        <f t="shared" ref="C30:C33" si="2">B30/B$34</f>
        <v>0.69426051282051282</v>
      </c>
      <c r="D30" s="78">
        <f>B30/National!B30</f>
        <v>4.7321489491881079E-2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3597+10966</f>
        <v>14563</v>
      </c>
      <c r="C31" s="175">
        <f t="shared" si="2"/>
        <v>0.11949128205128205</v>
      </c>
      <c r="D31" s="78">
        <f>B31/National!B31</f>
        <v>1.1320388047635336E-2</v>
      </c>
      <c r="E31" s="51"/>
      <c r="F31" s="163" t="s">
        <v>16</v>
      </c>
      <c r="G31" s="168">
        <v>1272033</v>
      </c>
      <c r="H31" s="92">
        <f>G31/G$38</f>
        <v>0.28993255823971742</v>
      </c>
      <c r="I31" s="112">
        <f>+G31/National!G31</f>
        <v>3.0113115848732486E-2</v>
      </c>
    </row>
    <row r="32" spans="1:9">
      <c r="A32" s="146" t="s">
        <v>94</v>
      </c>
      <c r="B32" s="157">
        <f>236+61</f>
        <v>297</v>
      </c>
      <c r="C32" s="175">
        <f t="shared" si="2"/>
        <v>2.436923076923077E-3</v>
      </c>
      <c r="D32" s="78">
        <f>B32/National!B32</f>
        <v>5.2089727625094272E-3</v>
      </c>
      <c r="E32" s="51"/>
      <c r="F32" s="163" t="s">
        <v>17</v>
      </c>
      <c r="G32" s="169">
        <v>1021997</v>
      </c>
      <c r="H32" s="106">
        <f t="shared" ref="H32:H37" si="3">G32/G$38</f>
        <v>0.23294223084095811</v>
      </c>
      <c r="I32" s="113">
        <f>+G32/National!G32</f>
        <v>1.6427589616581986E-2</v>
      </c>
    </row>
    <row r="33" spans="1:9">
      <c r="A33" s="146" t="s">
        <v>95</v>
      </c>
      <c r="B33" s="150">
        <f>2917+1488</f>
        <v>4405</v>
      </c>
      <c r="C33" s="175">
        <f t="shared" si="2"/>
        <v>3.6143589743589742E-2</v>
      </c>
      <c r="D33" s="78">
        <f>B33/National!B33</f>
        <v>3.3489949213879509E-2</v>
      </c>
      <c r="E33" s="51"/>
      <c r="F33" s="163" t="s">
        <v>18</v>
      </c>
      <c r="G33" s="169">
        <v>883987</v>
      </c>
      <c r="H33" s="106">
        <f t="shared" si="3"/>
        <v>0.20148582022687545</v>
      </c>
      <c r="I33" s="113">
        <f>+G33/National!G33</f>
        <v>2.7826924185343011E-2</v>
      </c>
    </row>
    <row r="34" spans="1:9">
      <c r="A34" s="9" t="s">
        <v>1</v>
      </c>
      <c r="B34" s="154">
        <f>SUM(B29:B33)</f>
        <v>121875</v>
      </c>
      <c r="C34" s="176">
        <f>SUM(C29:C33)</f>
        <v>1</v>
      </c>
      <c r="D34" s="180">
        <f>B34/National!B34</f>
        <v>3.01464244299945E-2</v>
      </c>
      <c r="E34" s="51"/>
      <c r="F34" s="163" t="s">
        <v>19</v>
      </c>
      <c r="G34" s="169">
        <v>9449</v>
      </c>
      <c r="H34" s="106">
        <f t="shared" si="3"/>
        <v>2.1536962820988838E-3</v>
      </c>
      <c r="I34" s="113">
        <f>+G34/National!G34</f>
        <v>1.1002618085141564E-3</v>
      </c>
    </row>
    <row r="35" spans="1:9">
      <c r="B35" s="49"/>
      <c r="C35" s="96"/>
      <c r="D35" s="96"/>
      <c r="E35" s="51"/>
      <c r="F35" s="163" t="s">
        <v>20</v>
      </c>
      <c r="G35" s="169">
        <v>135621</v>
      </c>
      <c r="H35" s="106">
        <f t="shared" si="3"/>
        <v>3.0911889456506799E-2</v>
      </c>
      <c r="I35" s="113">
        <f>+G35/National!G35</f>
        <v>1.0172548767230742E-2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124508</v>
      </c>
      <c r="H36" s="106">
        <f t="shared" si="3"/>
        <v>2.837892017055433E-2</v>
      </c>
      <c r="I36" s="113">
        <f>+G36/National!G36</f>
        <v>7.8700067146754687E-3</v>
      </c>
    </row>
    <row r="37" spans="1:9">
      <c r="A37" s="146" t="s">
        <v>5</v>
      </c>
      <c r="B37" s="149">
        <f>3226+3372</f>
        <v>6598</v>
      </c>
      <c r="C37" s="174">
        <f>B37/B$43</f>
        <v>2.5665462098904218E-2</v>
      </c>
      <c r="D37" s="77">
        <f>B37/National!B37</f>
        <v>3.0891248572017155E-2</v>
      </c>
      <c r="E37" s="51"/>
      <c r="F37" s="163" t="s">
        <v>22</v>
      </c>
      <c r="G37" s="170">
        <v>939746</v>
      </c>
      <c r="H37" s="106">
        <f t="shared" si="3"/>
        <v>0.21419488478328902</v>
      </c>
      <c r="I37" s="114">
        <f>+G37/National!G37</f>
        <v>3.6628464415592553E-2</v>
      </c>
    </row>
    <row r="38" spans="1:9">
      <c r="A38" s="146" t="s">
        <v>7</v>
      </c>
      <c r="B38" s="157">
        <f>8062+6927</f>
        <v>14989</v>
      </c>
      <c r="C38" s="175">
        <f t="shared" ref="C38:C42" si="4">B38/B$43</f>
        <v>5.8305488238932307E-2</v>
      </c>
      <c r="D38" s="78">
        <f>B38/National!B38</f>
        <v>3.1389392651167074E-2</v>
      </c>
      <c r="E38" s="51"/>
      <c r="F38" s="47" t="s">
        <v>1</v>
      </c>
      <c r="G38" s="187">
        <f>SUM(G31:G37)</f>
        <v>4387341</v>
      </c>
      <c r="H38" s="188">
        <f>SUM(H31:H37)</f>
        <v>1</v>
      </c>
      <c r="I38" s="188">
        <f>+G38/National!G39</f>
        <v>2.1797222719056823E-2</v>
      </c>
    </row>
    <row r="39" spans="1:9">
      <c r="A39" s="146" t="s">
        <v>6</v>
      </c>
      <c r="B39" s="157">
        <f>10800+10669</f>
        <v>21469</v>
      </c>
      <c r="C39" s="175">
        <f t="shared" si="4"/>
        <v>8.3511943892296867E-2</v>
      </c>
      <c r="D39" s="78">
        <f>B39/National!B39</f>
        <v>3.8844911658539677E-2</v>
      </c>
      <c r="E39" s="51"/>
      <c r="H39" s="87"/>
      <c r="I39" s="87"/>
    </row>
    <row r="40" spans="1:9" ht="23.25">
      <c r="A40" s="146" t="s">
        <v>30</v>
      </c>
      <c r="B40" s="157">
        <f>25616+14833+5841</f>
        <v>46290</v>
      </c>
      <c r="C40" s="175">
        <f t="shared" si="4"/>
        <v>0.18006278274602552</v>
      </c>
      <c r="D40" s="78">
        <f>B40/National!B40</f>
        <v>2.8773105817152474E-2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58150+109033</f>
        <v>167183</v>
      </c>
      <c r="C41" s="175">
        <f t="shared" si="4"/>
        <v>0.65032266597167387</v>
      </c>
      <c r="D41" s="78">
        <f>B41/National!B41</f>
        <v>2.9968608633988002E-2</v>
      </c>
      <c r="E41" s="51"/>
      <c r="F41" s="163" t="s">
        <v>38</v>
      </c>
      <c r="G41" s="168">
        <v>2488251</v>
      </c>
      <c r="H41" s="189">
        <f>G41/G$47</f>
        <v>0.64971070162460898</v>
      </c>
      <c r="I41" s="113">
        <f>+G41/National!G42</f>
        <v>2.7437511966863417E-2</v>
      </c>
    </row>
    <row r="42" spans="1:9">
      <c r="A42" s="156" t="s">
        <v>29</v>
      </c>
      <c r="B42" s="150">
        <v>548</v>
      </c>
      <c r="C42" s="175">
        <f t="shared" si="4"/>
        <v>2.1316570521672496E-3</v>
      </c>
      <c r="D42" s="78">
        <f>B42/National!B42</f>
        <v>1.0382720727548313E-2</v>
      </c>
      <c r="E42" s="51"/>
      <c r="F42" s="163" t="s">
        <v>39</v>
      </c>
      <c r="G42" s="169">
        <v>478855</v>
      </c>
      <c r="H42" s="86">
        <f t="shared" ref="H42:H46" si="5">G42/G$47</f>
        <v>0.12503449934369651</v>
      </c>
      <c r="I42" s="113">
        <f>+G42/National!G43</f>
        <v>1.0752171007604087E-2</v>
      </c>
    </row>
    <row r="43" spans="1:9">
      <c r="A43" s="9" t="s">
        <v>1</v>
      </c>
      <c r="B43" s="154">
        <f>SUM(B37:B42)</f>
        <v>257077</v>
      </c>
      <c r="C43" s="178">
        <f>SUM(C37:C42)</f>
        <v>1</v>
      </c>
      <c r="D43" s="179">
        <f>B43/National!B43</f>
        <v>3.030150157314342E-2</v>
      </c>
      <c r="E43" s="51"/>
      <c r="F43" s="163" t="s">
        <v>40</v>
      </c>
      <c r="G43" s="169">
        <v>385711</v>
      </c>
      <c r="H43" s="86">
        <f t="shared" si="5"/>
        <v>0.10071353912219047</v>
      </c>
      <c r="I43" s="113">
        <f>+G43/National!G44</f>
        <v>2.9441396537280621E-2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145303</v>
      </c>
      <c r="H44" s="86">
        <f t="shared" si="5"/>
        <v>3.7940269722853748E-2</v>
      </c>
      <c r="I44" s="113">
        <f>+G44/National!G45</f>
        <v>9.8694448161352928E-3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139959</v>
      </c>
      <c r="H45" s="86">
        <f t="shared" si="5"/>
        <v>3.6544890402406612E-2</v>
      </c>
      <c r="I45" s="113">
        <f>+G45/National!G46</f>
        <v>1.6824310557162013E-2</v>
      </c>
    </row>
    <row r="46" spans="1:9">
      <c r="A46" s="8" t="s">
        <v>3</v>
      </c>
      <c r="B46" s="52">
        <v>38491</v>
      </c>
      <c r="C46" s="93">
        <f>B46/B$48</f>
        <v>0.3529438733873112</v>
      </c>
      <c r="D46" s="77">
        <f>B46/National!B48</f>
        <v>3.8863388993334129E-2</v>
      </c>
      <c r="E46" s="51"/>
      <c r="F46" s="163" t="s">
        <v>43</v>
      </c>
      <c r="G46" s="170">
        <v>191704</v>
      </c>
      <c r="H46" s="86">
        <f t="shared" si="5"/>
        <v>5.0056099784243649E-2</v>
      </c>
      <c r="I46" s="113">
        <f>+G46/National!G47</f>
        <v>2.4065207946298926E-2</v>
      </c>
    </row>
    <row r="47" spans="1:9">
      <c r="A47" s="8" t="s">
        <v>2</v>
      </c>
      <c r="B47" s="52">
        <v>70566</v>
      </c>
      <c r="C47" s="97">
        <f>B47/B$48</f>
        <v>0.64705612661268874</v>
      </c>
      <c r="D47" s="78">
        <f>B47/National!B49</f>
        <v>3.5583843605764942E-2</v>
      </c>
      <c r="E47" s="51"/>
      <c r="F47" s="9" t="s">
        <v>1</v>
      </c>
      <c r="G47" s="191">
        <f>SUM(G41:G46)</f>
        <v>3829783</v>
      </c>
      <c r="H47" s="182">
        <f>SUM(H41:H46)</f>
        <v>1</v>
      </c>
      <c r="I47" s="188">
        <f>+G47/National!G49</f>
        <v>2.111010822922392E-2</v>
      </c>
    </row>
    <row r="48" spans="1:9">
      <c r="A48" s="9" t="s">
        <v>1</v>
      </c>
      <c r="B48" s="155">
        <f>SUM(B46:B47)</f>
        <v>109057</v>
      </c>
      <c r="C48" s="165">
        <f>SUM(C46:C47)</f>
        <v>1</v>
      </c>
      <c r="D48" s="177">
        <f>B48/National!B50</f>
        <v>3.6676196372703092E-2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1142137</v>
      </c>
      <c r="H50" s="189">
        <f>G50/G$52</f>
        <v>0.86182757970194301</v>
      </c>
      <c r="I50" s="113">
        <f>+G50/National!G52</f>
        <v>3.644144788307923E-2</v>
      </c>
    </row>
    <row r="51" spans="1:9">
      <c r="A51" s="146" t="s">
        <v>5</v>
      </c>
      <c r="B51" s="149">
        <f>9433+19118</f>
        <v>28551</v>
      </c>
      <c r="C51" s="174">
        <f>B51/B$57</f>
        <v>0.26179887581723321</v>
      </c>
      <c r="D51" s="77">
        <f>B51/National!B53</f>
        <v>3.9688287569452071E-2</v>
      </c>
      <c r="E51" s="51"/>
      <c r="F51" s="163" t="s">
        <v>97</v>
      </c>
      <c r="G51" s="194">
        <v>183113</v>
      </c>
      <c r="H51" s="86">
        <f>G51/G$52</f>
        <v>0.13817242029805696</v>
      </c>
      <c r="I51" s="113">
        <f>+G51/National!G53</f>
        <v>3.6311548017373574E-2</v>
      </c>
    </row>
    <row r="52" spans="1:9">
      <c r="A52" s="146" t="s">
        <v>7</v>
      </c>
      <c r="B52" s="157">
        <f>6211+12897</f>
        <v>19108</v>
      </c>
      <c r="C52" s="175">
        <f t="shared" ref="C52:C56" si="6">B52/B$57</f>
        <v>0.17521112812565906</v>
      </c>
      <c r="D52" s="78">
        <f>B52/National!B54</f>
        <v>2.7900307650974569E-2</v>
      </c>
      <c r="E52" s="51"/>
      <c r="F52" s="60" t="s">
        <v>1</v>
      </c>
      <c r="G52" s="190">
        <f>SUM(G50:G51)</f>
        <v>1325250</v>
      </c>
      <c r="H52" s="185">
        <f>SUM(H50:H51)</f>
        <v>1</v>
      </c>
      <c r="I52" s="192">
        <f>+G52/National!G54</f>
        <v>3.6423443994732595E-2</v>
      </c>
    </row>
    <row r="53" spans="1:9">
      <c r="A53" s="146" t="s">
        <v>6</v>
      </c>
      <c r="B53" s="157">
        <f>6815+15481</f>
        <v>22296</v>
      </c>
      <c r="C53" s="175">
        <f t="shared" si="6"/>
        <v>0.20444354786946276</v>
      </c>
      <c r="D53" s="78">
        <f>B53/National!B55</f>
        <v>4.214681063424372E-2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6332+1747+4920</f>
        <v>12999</v>
      </c>
      <c r="C54" s="175">
        <f t="shared" si="6"/>
        <v>0.11919454963917951</v>
      </c>
      <c r="D54" s="78">
        <f>B54/National!B56</f>
        <v>3.1206562524757109E-2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7953+15746</f>
        <v>23699</v>
      </c>
      <c r="C55" s="175">
        <f t="shared" si="6"/>
        <v>0.21730838002145667</v>
      </c>
      <c r="D55" s="78">
        <f>B55/National!B57</f>
        <v>5.908766785844291E-2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2404</v>
      </c>
      <c r="C56" s="175">
        <f t="shared" si="6"/>
        <v>2.2043518527008813E-2</v>
      </c>
      <c r="D56" s="78">
        <f>B56/National!B58</f>
        <v>1.079847635475061E-2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109057</v>
      </c>
      <c r="C57" s="178">
        <f>SUM(C51:C56)</f>
        <v>1</v>
      </c>
      <c r="D57" s="177">
        <f>B57/National!B59</f>
        <v>3.6676196372703092E-2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51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1288198</v>
      </c>
      <c r="C4" s="99"/>
      <c r="D4" s="77">
        <f>B4/National!B4</f>
        <v>4.2366610843861717E-3</v>
      </c>
      <c r="E4" s="1"/>
      <c r="F4" s="146" t="s">
        <v>10</v>
      </c>
      <c r="G4" s="195">
        <v>463508</v>
      </c>
      <c r="H4" s="189">
        <f>G4/G$6</f>
        <v>0.52387577746457537</v>
      </c>
      <c r="I4" s="112">
        <f>+G4/National!G4</f>
        <v>4.4732312468541953E-3</v>
      </c>
    </row>
    <row r="5" spans="1:9">
      <c r="A5" s="8" t="s">
        <v>167</v>
      </c>
      <c r="B5" s="50">
        <f>5661+762</f>
        <v>6423</v>
      </c>
      <c r="C5" s="100"/>
      <c r="D5" s="79">
        <f>B5/National!B5</f>
        <v>1.8157193293117822E-3</v>
      </c>
      <c r="E5" s="1"/>
      <c r="F5" s="146" t="s">
        <v>11</v>
      </c>
      <c r="G5" s="196">
        <v>421259</v>
      </c>
      <c r="H5" s="86">
        <f>G5/G$6</f>
        <v>0.47612422253542458</v>
      </c>
      <c r="I5" s="113">
        <f>+G5/National!G5</f>
        <v>4.0233924254620274E-3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884767</v>
      </c>
      <c r="H6" s="182">
        <f>SUM(H4:H5)</f>
        <v>1</v>
      </c>
      <c r="I6" s="183">
        <f>+G6/National!G6</f>
        <v>4.2471411648817197E-3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446174</v>
      </c>
      <c r="C8" s="174">
        <f>B8/B10</f>
        <v>0.88317883731103686</v>
      </c>
      <c r="D8" s="77">
        <f>B8/National!B8</f>
        <v>3.2661346148844406E-3</v>
      </c>
      <c r="E8" s="1"/>
      <c r="F8" s="146" t="s">
        <v>32</v>
      </c>
      <c r="G8" s="206">
        <f>17/100</f>
        <v>0.17</v>
      </c>
      <c r="H8" s="87"/>
      <c r="I8" s="87"/>
    </row>
    <row r="9" spans="1:9">
      <c r="A9" s="146" t="s">
        <v>169</v>
      </c>
      <c r="B9" s="150">
        <v>59017</v>
      </c>
      <c r="C9" s="175">
        <f>B9/B10</f>
        <v>0.11682116268896318</v>
      </c>
      <c r="D9" s="78">
        <f>B9/National!B9</f>
        <v>1.5305073075324886E-3</v>
      </c>
      <c r="E9" s="1"/>
      <c r="F9" s="146" t="s">
        <v>31</v>
      </c>
      <c r="G9" s="207">
        <f>17/100</f>
        <v>0.17</v>
      </c>
      <c r="H9" s="87"/>
      <c r="I9" s="87"/>
    </row>
    <row r="10" spans="1:9">
      <c r="A10" s="9" t="s">
        <v>9</v>
      </c>
      <c r="B10" s="152">
        <f>SUM(B8:B9)</f>
        <v>505191</v>
      </c>
      <c r="C10" s="176">
        <f>SUM(C8:C9)</f>
        <v>1</v>
      </c>
      <c r="D10" s="165"/>
      <c r="E10" s="1"/>
      <c r="F10" s="146" t="s">
        <v>33</v>
      </c>
      <c r="G10" s="205">
        <f>16/100</f>
        <v>0.16</v>
      </c>
      <c r="H10" s="87"/>
      <c r="I10" s="87"/>
    </row>
    <row r="11" spans="1:9">
      <c r="A11" s="146" t="s">
        <v>170</v>
      </c>
      <c r="B11" s="149">
        <v>14626</v>
      </c>
      <c r="C11" s="93">
        <f>B11/(B12+B11)</f>
        <v>3.3111698214014856E-2</v>
      </c>
      <c r="D11" s="77">
        <f>B11/National!B11</f>
        <v>3.8781395536294783E-3</v>
      </c>
      <c r="E11" s="1"/>
      <c r="G11" s="49"/>
      <c r="H11" s="87"/>
      <c r="I11" s="86"/>
    </row>
    <row r="12" spans="1:9" ht="23.25">
      <c r="A12" s="146" t="s">
        <v>171</v>
      </c>
      <c r="B12" s="150">
        <v>427091</v>
      </c>
      <c r="C12" s="95">
        <f>B12/(B11+B12)</f>
        <v>0.96688830178598517</v>
      </c>
      <c r="D12" s="79">
        <f>B12/National!B12</f>
        <v>3.230523567790074E-3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488217</v>
      </c>
      <c r="H13" s="189">
        <f>G13/G$18</f>
        <v>0.49009406025076041</v>
      </c>
      <c r="I13" s="92">
        <f>+G13/National!G13</f>
        <v>3.5615520802719331E-3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452563</v>
      </c>
      <c r="H14" s="86">
        <f>G14/G$18</f>
        <v>0.4543029804149894</v>
      </c>
      <c r="I14" s="106">
        <f>+G14/National!G14</f>
        <v>4.1051930792687158E-3</v>
      </c>
    </row>
    <row r="15" spans="1:9">
      <c r="A15" s="146" t="s">
        <v>3</v>
      </c>
      <c r="B15" s="149">
        <v>2052</v>
      </c>
      <c r="C15" s="174">
        <f>B15/B$17</f>
        <v>0.47042640990371387</v>
      </c>
      <c r="D15" s="77">
        <f>B15/National!B15</f>
        <v>6.8923172830565884E-4</v>
      </c>
      <c r="E15" s="3"/>
      <c r="F15" s="146" t="s">
        <v>13</v>
      </c>
      <c r="G15" s="150">
        <v>4711</v>
      </c>
      <c r="H15" s="86">
        <f>G15/G$18</f>
        <v>4.7291125008783646E-3</v>
      </c>
      <c r="I15" s="106">
        <f>+G15/National!G15</f>
        <v>5.5863338187234083E-3</v>
      </c>
    </row>
    <row r="16" spans="1:9">
      <c r="A16" s="146" t="s">
        <v>2</v>
      </c>
      <c r="B16" s="150">
        <v>2310</v>
      </c>
      <c r="C16" s="175">
        <f>B16/B$17</f>
        <v>0.52957359009628613</v>
      </c>
      <c r="D16" s="78">
        <f>B16/National!B16</f>
        <v>2.1679148600709497E-3</v>
      </c>
      <c r="E16" s="1"/>
      <c r="F16" s="9" t="s">
        <v>1</v>
      </c>
      <c r="G16" s="162">
        <v>945491</v>
      </c>
      <c r="H16" s="105"/>
      <c r="I16" s="106"/>
    </row>
    <row r="17" spans="1:9">
      <c r="A17" s="9" t="s">
        <v>1</v>
      </c>
      <c r="B17" s="154">
        <f>SUM(B15:B16)</f>
        <v>4362</v>
      </c>
      <c r="C17" s="176">
        <f>SUM(C15:C16)</f>
        <v>1</v>
      </c>
      <c r="D17" s="177">
        <f>B17/National!B17</f>
        <v>1.0789637199067569E-3</v>
      </c>
      <c r="E17" s="1"/>
      <c r="F17" s="108" t="s">
        <v>35</v>
      </c>
      <c r="G17" s="117">
        <v>50679</v>
      </c>
      <c r="H17" s="105">
        <f>G17/G$18</f>
        <v>5.0873846833371816E-2</v>
      </c>
      <c r="I17" s="106">
        <f>+G17/National!G17</f>
        <v>6.5761677469718923E-3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996170</v>
      </c>
      <c r="H18" s="185">
        <f>SUM(H13:H17)</f>
        <v>1</v>
      </c>
      <c r="I18" s="186">
        <f>+G18/National!G18</f>
        <v>3.8932478223946436E-3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6+49</f>
        <v>55</v>
      </c>
      <c r="C20" s="174">
        <f>B20/B$26</f>
        <v>1.2600229095074456E-2</v>
      </c>
      <c r="D20" s="77">
        <f>B20/National!B20</f>
        <v>1.176445423627302E-3</v>
      </c>
      <c r="E20" s="51"/>
      <c r="F20" s="163" t="s">
        <v>3</v>
      </c>
      <c r="G20" s="108">
        <f>45+13</f>
        <v>58</v>
      </c>
      <c r="H20" s="189">
        <f>G20/G$23</f>
        <v>0.54205607476635509</v>
      </c>
      <c r="I20" s="92">
        <f>+G20/National!G20</f>
        <v>2.7875234296150333E-3</v>
      </c>
    </row>
    <row r="21" spans="1:9">
      <c r="A21" s="146" t="s">
        <v>7</v>
      </c>
      <c r="B21" s="157">
        <f>111+227</f>
        <v>338</v>
      </c>
      <c r="C21" s="175">
        <f t="shared" ref="C21:C25" si="0">B21/B$26</f>
        <v>7.7434135166093931E-2</v>
      </c>
      <c r="D21" s="78">
        <f>B21/National!B21</f>
        <v>2.1190425438541499E-3</v>
      </c>
      <c r="E21" s="51"/>
      <c r="F21" s="163" t="s">
        <v>2</v>
      </c>
      <c r="G21" s="198">
        <f>42+7</f>
        <v>49</v>
      </c>
      <c r="H21" s="86">
        <f t="shared" ref="H21:H22" si="1">G21/G$23</f>
        <v>0.45794392523364486</v>
      </c>
      <c r="I21" s="106">
        <f>+G21/National!G21</f>
        <v>3.0709450990223115E-3</v>
      </c>
    </row>
    <row r="22" spans="1:9">
      <c r="A22" s="146" t="s">
        <v>6</v>
      </c>
      <c r="B22" s="157">
        <f>297+118</f>
        <v>415</v>
      </c>
      <c r="C22" s="175">
        <f t="shared" si="0"/>
        <v>9.5074455899198163E-2</v>
      </c>
      <c r="D22" s="78">
        <f>B22/National!B22</f>
        <v>1.7205995149153176E-3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393+322+123</f>
        <v>838</v>
      </c>
      <c r="C23" s="175">
        <f t="shared" si="0"/>
        <v>0.19198167239404354</v>
      </c>
      <c r="D23" s="78">
        <f>B23/National!B23</f>
        <v>1.054503219506548E-3</v>
      </c>
      <c r="E23" s="51"/>
      <c r="F23" s="9" t="s">
        <v>1</v>
      </c>
      <c r="G23" s="197">
        <f>SUM(G20:G22)</f>
        <v>107</v>
      </c>
      <c r="H23" s="132">
        <f>SUM(H20:H22)</f>
        <v>1</v>
      </c>
      <c r="I23" s="133">
        <f>+G23/National!G23</f>
        <v>2.8716352218136924E-3</v>
      </c>
    </row>
    <row r="24" spans="1:9">
      <c r="A24" s="146" t="s">
        <v>8</v>
      </c>
      <c r="B24" s="157">
        <f>1491+1194</f>
        <v>2685</v>
      </c>
      <c r="C24" s="175">
        <f t="shared" si="0"/>
        <v>0.61512027491408938</v>
      </c>
      <c r="D24" s="78">
        <f>B24/National!B24</f>
        <v>9.6260572529921441E-4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34</v>
      </c>
      <c r="C25" s="175">
        <f t="shared" si="0"/>
        <v>7.7892325315005728E-3</v>
      </c>
      <c r="D25" s="78">
        <f>B25/National!B25</f>
        <v>2.999558888398765E-3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4365</v>
      </c>
      <c r="C26" s="176">
        <f>SUM(C20:C25)</f>
        <v>1</v>
      </c>
      <c r="D26" s="177">
        <f>B26/National!B26</f>
        <v>1.0797031150362449E-3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403363</v>
      </c>
      <c r="H27" s="87"/>
      <c r="I27" s="113">
        <f>+G27/National!G27</f>
        <v>2.9212439192141276E-3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444335</v>
      </c>
      <c r="H28" s="87"/>
      <c r="I28" s="114">
        <f>+G28/National!G28</f>
        <v>3.3413504889906473E-3</v>
      </c>
    </row>
    <row r="29" spans="1:9">
      <c r="A29" s="146" t="s">
        <v>91</v>
      </c>
      <c r="B29" s="149">
        <f>580+365</f>
        <v>945</v>
      </c>
      <c r="C29" s="174">
        <f>B29/B$34</f>
        <v>0.21664374140302614</v>
      </c>
      <c r="D29" s="77">
        <f>B29/National!B29</f>
        <v>1.2119533224834655E-3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1324+1915</f>
        <v>3239</v>
      </c>
      <c r="C30" s="175">
        <f t="shared" ref="C30:C33" si="2">B30/B$34</f>
        <v>0.74254928931682718</v>
      </c>
      <c r="D30" s="78">
        <f>B30/National!B30</f>
        <v>1.8114746488625013E-3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v>0</v>
      </c>
      <c r="C31" s="175">
        <f t="shared" si="2"/>
        <v>0</v>
      </c>
      <c r="D31" s="78">
        <f>B31/National!B31</f>
        <v>0</v>
      </c>
      <c r="E31" s="51"/>
      <c r="F31" s="163" t="s">
        <v>16</v>
      </c>
      <c r="G31" s="168">
        <v>287254</v>
      </c>
      <c r="H31" s="92">
        <f>G31/G$38</f>
        <v>0.4616873170755228</v>
      </c>
      <c r="I31" s="112">
        <f>+G31/National!G31</f>
        <v>6.8002268651928066E-3</v>
      </c>
    </row>
    <row r="32" spans="1:9">
      <c r="A32" s="146" t="s">
        <v>94</v>
      </c>
      <c r="B32" s="157">
        <f>47+13</f>
        <v>60</v>
      </c>
      <c r="C32" s="175">
        <f t="shared" si="2"/>
        <v>1.3755158184319119E-2</v>
      </c>
      <c r="D32" s="78">
        <f>B32/National!B32</f>
        <v>1.0523177297998842E-3</v>
      </c>
      <c r="E32" s="51"/>
      <c r="F32" s="163" t="s">
        <v>17</v>
      </c>
      <c r="G32" s="169">
        <v>127494</v>
      </c>
      <c r="H32" s="106">
        <f t="shared" ref="H32:H37" si="3">G32/G$38</f>
        <v>0.20491398832819283</v>
      </c>
      <c r="I32" s="113">
        <f>+G32/National!G32</f>
        <v>2.0493397833618921E-3</v>
      </c>
    </row>
    <row r="33" spans="1:9">
      <c r="A33" s="146" t="s">
        <v>95</v>
      </c>
      <c r="B33" s="150">
        <f>17+101</f>
        <v>118</v>
      </c>
      <c r="C33" s="175">
        <f t="shared" si="2"/>
        <v>2.7051811095827601E-2</v>
      </c>
      <c r="D33" s="78">
        <f>B33/National!B33</f>
        <v>8.9712009244898581E-4</v>
      </c>
      <c r="E33" s="51"/>
      <c r="F33" s="163" t="s">
        <v>18</v>
      </c>
      <c r="G33" s="169">
        <v>74932</v>
      </c>
      <c r="H33" s="106">
        <f t="shared" si="3"/>
        <v>0.12043402021591718</v>
      </c>
      <c r="I33" s="113">
        <f>+G33/National!G33</f>
        <v>2.3587757320595467E-3</v>
      </c>
    </row>
    <row r="34" spans="1:9">
      <c r="A34" s="9" t="s">
        <v>1</v>
      </c>
      <c r="B34" s="154">
        <f>SUM(B29:B33)</f>
        <v>4362</v>
      </c>
      <c r="C34" s="176">
        <f>SUM(C29:C33)</f>
        <v>1</v>
      </c>
      <c r="D34" s="180">
        <f>B34/National!B34</f>
        <v>1.0789637199067569E-3</v>
      </c>
      <c r="E34" s="51"/>
      <c r="F34" s="163" t="s">
        <v>19</v>
      </c>
      <c r="G34" s="169">
        <v>0</v>
      </c>
      <c r="H34" s="106">
        <f t="shared" si="3"/>
        <v>0</v>
      </c>
      <c r="I34" s="113">
        <f>+G34/National!G34</f>
        <v>0</v>
      </c>
    </row>
    <row r="35" spans="1:9">
      <c r="B35" s="49"/>
      <c r="C35" s="96"/>
      <c r="D35" s="96"/>
      <c r="E35" s="51"/>
      <c r="F35" s="163" t="s">
        <v>20</v>
      </c>
      <c r="G35" s="169">
        <v>54800</v>
      </c>
      <c r="H35" s="106">
        <f t="shared" si="3"/>
        <v>8.8076980566810723E-2</v>
      </c>
      <c r="I35" s="113">
        <f>+G35/National!G35</f>
        <v>4.1103934674146681E-3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39703</v>
      </c>
      <c r="H36" s="106">
        <f t="shared" si="3"/>
        <v>6.381241531832274E-2</v>
      </c>
      <c r="I36" s="113">
        <f>+G36/National!G36</f>
        <v>2.5095807224657062E-3</v>
      </c>
    </row>
    <row r="37" spans="1:9">
      <c r="A37" s="146" t="s">
        <v>5</v>
      </c>
      <c r="B37" s="149">
        <f>25+322</f>
        <v>347</v>
      </c>
      <c r="C37" s="174">
        <f>B37/B$43</f>
        <v>3.643809723826525E-2</v>
      </c>
      <c r="D37" s="77">
        <f>B37/National!B37</f>
        <v>1.6246231061670131E-3</v>
      </c>
      <c r="E37" s="51"/>
      <c r="F37" s="163" t="s">
        <v>22</v>
      </c>
      <c r="G37" s="170">
        <v>38000</v>
      </c>
      <c r="H37" s="106">
        <f t="shared" si="3"/>
        <v>6.1075278495233719E-2</v>
      </c>
      <c r="I37" s="114">
        <f>+G37/National!G37</f>
        <v>1.4811253762107178E-3</v>
      </c>
    </row>
    <row r="38" spans="1:9">
      <c r="A38" s="146" t="s">
        <v>7</v>
      </c>
      <c r="B38" s="157">
        <f>230+725</f>
        <v>955</v>
      </c>
      <c r="C38" s="175">
        <f t="shared" ref="C38:C42" si="4">B38/B$43</f>
        <v>0.10028352409954847</v>
      </c>
      <c r="D38" s="78">
        <f>B38/National!B38</f>
        <v>1.9999246101717631E-3</v>
      </c>
      <c r="E38" s="51"/>
      <c r="F38" s="47" t="s">
        <v>1</v>
      </c>
      <c r="G38" s="187">
        <f>SUM(G31:G37)</f>
        <v>622183</v>
      </c>
      <c r="H38" s="188">
        <f>SUM(H31:H37)</f>
        <v>1</v>
      </c>
      <c r="I38" s="188">
        <f>+G38/National!G39</f>
        <v>3.0911345671583157E-3</v>
      </c>
    </row>
    <row r="39" spans="1:9">
      <c r="A39" s="146" t="s">
        <v>6</v>
      </c>
      <c r="B39" s="157">
        <f>601+357</f>
        <v>958</v>
      </c>
      <c r="C39" s="175">
        <f t="shared" si="4"/>
        <v>0.10059855087682452</v>
      </c>
      <c r="D39" s="78">
        <f>B39/National!B39</f>
        <v>1.7333562517528067E-3</v>
      </c>
      <c r="E39" s="51"/>
      <c r="H39" s="87"/>
      <c r="I39" s="87"/>
    </row>
    <row r="40" spans="1:9" ht="23.25">
      <c r="A40" s="146" t="s">
        <v>30</v>
      </c>
      <c r="B40" s="157">
        <f>644+246+856</f>
        <v>1746</v>
      </c>
      <c r="C40" s="175">
        <f t="shared" si="4"/>
        <v>0.18334558437467185</v>
      </c>
      <c r="D40" s="78">
        <f>B40/National!B40</f>
        <v>1.0852850023060753E-3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2982+2387</f>
        <v>5369</v>
      </c>
      <c r="C41" s="175">
        <f t="shared" si="4"/>
        <v>0.56379292239840384</v>
      </c>
      <c r="D41" s="78">
        <f>B41/National!B41</f>
        <v>9.6242715919609995E-4</v>
      </c>
      <c r="E41" s="51"/>
      <c r="F41" s="163" t="s">
        <v>38</v>
      </c>
      <c r="G41" s="168">
        <v>253580</v>
      </c>
      <c r="H41" s="189">
        <f>G41/G$47</f>
        <v>0.39346144596072835</v>
      </c>
      <c r="I41" s="113">
        <f>+G41/National!G42</f>
        <v>2.7961826538227957E-3</v>
      </c>
    </row>
    <row r="42" spans="1:9">
      <c r="A42" s="156" t="s">
        <v>29</v>
      </c>
      <c r="B42" s="150">
        <v>148</v>
      </c>
      <c r="C42" s="175">
        <f t="shared" si="4"/>
        <v>1.5541321012286044E-2</v>
      </c>
      <c r="D42" s="78">
        <f>B42/National!B42</f>
        <v>2.8040924592648729E-3</v>
      </c>
      <c r="E42" s="51"/>
      <c r="F42" s="163" t="s">
        <v>39</v>
      </c>
      <c r="G42" s="169">
        <v>103790</v>
      </c>
      <c r="H42" s="86">
        <f t="shared" ref="H42:H46" si="5">G42/G$47</f>
        <v>0.16104331365353733</v>
      </c>
      <c r="I42" s="113">
        <f>+G42/National!G43</f>
        <v>2.3304921716996337E-3</v>
      </c>
    </row>
    <row r="43" spans="1:9">
      <c r="A43" s="9" t="s">
        <v>1</v>
      </c>
      <c r="B43" s="154">
        <f>SUM(B37:B42)</f>
        <v>9523</v>
      </c>
      <c r="C43" s="178">
        <f>SUM(C37:C42)</f>
        <v>0.99999999999999989</v>
      </c>
      <c r="D43" s="179">
        <f>B43/National!B43</f>
        <v>1.1224699194445429E-3</v>
      </c>
      <c r="E43" s="51"/>
      <c r="F43" s="163" t="s">
        <v>40</v>
      </c>
      <c r="G43" s="169">
        <v>106518</v>
      </c>
      <c r="H43" s="86">
        <f t="shared" si="5"/>
        <v>0.16527615072499749</v>
      </c>
      <c r="I43" s="113">
        <f>+G43/National!G44</f>
        <v>8.1305399025645032E-3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26400</v>
      </c>
      <c r="H44" s="86">
        <f t="shared" si="5"/>
        <v>4.096293940122734E-2</v>
      </c>
      <c r="I44" s="113">
        <f>+G44/National!G45</f>
        <v>1.7931724957225364E-3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43800</v>
      </c>
      <c r="H45" s="86">
        <f t="shared" si="5"/>
        <v>6.7961240370218085E-2</v>
      </c>
      <c r="I45" s="113">
        <f>+G45/National!G46</f>
        <v>5.2651476675576146E-3</v>
      </c>
    </row>
    <row r="46" spans="1:9">
      <c r="A46" s="8" t="s">
        <v>3</v>
      </c>
      <c r="B46" s="52">
        <v>2505</v>
      </c>
      <c r="C46" s="93">
        <f>B46/B$48</f>
        <v>0.24372446001167541</v>
      </c>
      <c r="D46" s="77">
        <f>B46/National!B48</f>
        <v>2.5292351310254864E-3</v>
      </c>
      <c r="E46" s="51"/>
      <c r="F46" s="163" t="s">
        <v>43</v>
      </c>
      <c r="G46" s="170">
        <v>110397</v>
      </c>
      <c r="H46" s="86">
        <f t="shared" si="5"/>
        <v>0.17129490988929144</v>
      </c>
      <c r="I46" s="113">
        <f>+G46/National!G47</f>
        <v>1.3858483712638038E-2</v>
      </c>
    </row>
    <row r="47" spans="1:9">
      <c r="A47" s="8" t="s">
        <v>2</v>
      </c>
      <c r="B47" s="52">
        <v>7773</v>
      </c>
      <c r="C47" s="97">
        <f>B47/B$48</f>
        <v>0.75627553998832453</v>
      </c>
      <c r="D47" s="78">
        <f>B47/National!B49</f>
        <v>3.9196385844119108E-3</v>
      </c>
      <c r="E47" s="51"/>
      <c r="F47" s="9" t="s">
        <v>1</v>
      </c>
      <c r="G47" s="191">
        <f>SUM(G41:G46)</f>
        <v>644485</v>
      </c>
      <c r="H47" s="182">
        <f>SUM(H41:H46)</f>
        <v>1</v>
      </c>
      <c r="I47" s="188">
        <f>+G47/National!G49</f>
        <v>3.5524592652146029E-3</v>
      </c>
    </row>
    <row r="48" spans="1:9">
      <c r="A48" s="9" t="s">
        <v>1</v>
      </c>
      <c r="B48" s="155">
        <f>SUM(B46:B47)</f>
        <v>10278</v>
      </c>
      <c r="C48" s="165">
        <f>SUM(C46:C47)</f>
        <v>1</v>
      </c>
      <c r="D48" s="177">
        <f>B48/National!B50</f>
        <v>3.4565222435849361E-3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83459</v>
      </c>
      <c r="H50" s="189">
        <f>G50/G$52</f>
        <v>0.8510059038859602</v>
      </c>
      <c r="I50" s="113">
        <f>+G50/National!G52</f>
        <v>2.6628738924261357E-3</v>
      </c>
    </row>
    <row r="51" spans="1:9">
      <c r="A51" s="146" t="s">
        <v>5</v>
      </c>
      <c r="B51" s="149">
        <f>110+1861</f>
        <v>1971</v>
      </c>
      <c r="C51" s="174">
        <f>B51/B$57</f>
        <v>0.19176882661996497</v>
      </c>
      <c r="D51" s="77">
        <f>B51/National!B53</f>
        <v>2.7398555146716415E-3</v>
      </c>
      <c r="E51" s="51"/>
      <c r="F51" s="163" t="s">
        <v>97</v>
      </c>
      <c r="G51" s="194">
        <v>14612</v>
      </c>
      <c r="H51" s="86">
        <f>G51/G$52</f>
        <v>0.14899409611403983</v>
      </c>
      <c r="I51" s="113">
        <f>+G51/National!G53</f>
        <v>2.8975787608190719E-3</v>
      </c>
    </row>
    <row r="52" spans="1:9">
      <c r="A52" s="146" t="s">
        <v>7</v>
      </c>
      <c r="B52" s="157">
        <f>527+1939</f>
        <v>2466</v>
      </c>
      <c r="C52" s="175">
        <f t="shared" ref="C52:C56" si="6">B52/B$57</f>
        <v>0.23992994746059546</v>
      </c>
      <c r="D52" s="78">
        <f>B52/National!B54</f>
        <v>3.6006991138425419E-3</v>
      </c>
      <c r="E52" s="51"/>
      <c r="F52" s="60" t="s">
        <v>1</v>
      </c>
      <c r="G52" s="190">
        <f>SUM(G50:G51)</f>
        <v>98071</v>
      </c>
      <c r="H52" s="185">
        <f>SUM(H50:H51)</f>
        <v>1</v>
      </c>
      <c r="I52" s="192">
        <f>+G52/National!G54</f>
        <v>2.6954035661251995E-3</v>
      </c>
    </row>
    <row r="53" spans="1:9">
      <c r="A53" s="146" t="s">
        <v>6</v>
      </c>
      <c r="B53" s="157">
        <f>643+696</f>
        <v>1339</v>
      </c>
      <c r="C53" s="175">
        <f t="shared" si="6"/>
        <v>0.13027826425374586</v>
      </c>
      <c r="D53" s="78">
        <f>B53/National!B55</f>
        <v>2.5311526479750777E-3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323+42+954</f>
        <v>1319</v>
      </c>
      <c r="C54" s="175">
        <f t="shared" si="6"/>
        <v>0.12833236038139717</v>
      </c>
      <c r="D54" s="78">
        <f>B54/National!B56</f>
        <v>3.1665094215058563E-3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860+1781</f>
        <v>2641</v>
      </c>
      <c r="C55" s="175">
        <f t="shared" si="6"/>
        <v>0.25695660634364664</v>
      </c>
      <c r="D55" s="78">
        <f>B55/National!B57</f>
        <v>6.5846884178297708E-3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542</v>
      </c>
      <c r="C56" s="175">
        <f t="shared" si="6"/>
        <v>5.2733994940649932E-2</v>
      </c>
      <c r="D56" s="78">
        <f>B56/National!B58</f>
        <v>2.434598246370562E-3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10278</v>
      </c>
      <c r="C57" s="178">
        <f>SUM(C51:C56)</f>
        <v>1.0000000000000002</v>
      </c>
      <c r="D57" s="177">
        <f>B57/National!B59</f>
        <v>3.4565222435849361E-3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52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1523816</v>
      </c>
      <c r="C4" s="99"/>
      <c r="D4" s="77">
        <f>B4/National!B4</f>
        <v>5.0115680562809427E-3</v>
      </c>
      <c r="E4" s="1"/>
      <c r="F4" s="146" t="s">
        <v>10</v>
      </c>
      <c r="G4" s="195">
        <v>522818</v>
      </c>
      <c r="H4" s="189">
        <f>G4/G$6</f>
        <v>0.50352590834757116</v>
      </c>
      <c r="I4" s="112">
        <f>+G4/National!G4</f>
        <v>5.045621249294115E-3</v>
      </c>
    </row>
    <row r="5" spans="1:9">
      <c r="A5" s="8" t="s">
        <v>167</v>
      </c>
      <c r="B5" s="50">
        <f>81353+1394</f>
        <v>82747</v>
      </c>
      <c r="C5" s="100"/>
      <c r="D5" s="79">
        <f>B5/National!B5</f>
        <v>2.3391768230198045E-2</v>
      </c>
      <c r="E5" s="1"/>
      <c r="F5" s="146" t="s">
        <v>11</v>
      </c>
      <c r="G5" s="196">
        <v>515496</v>
      </c>
      <c r="H5" s="86">
        <f>G5/G$6</f>
        <v>0.49647409165242884</v>
      </c>
      <c r="I5" s="113">
        <f>+G5/National!G5</f>
        <v>4.923438316465579E-3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1038314</v>
      </c>
      <c r="H6" s="182">
        <f>SUM(H4:H5)</f>
        <v>1</v>
      </c>
      <c r="I6" s="183">
        <f>+G6/National!G6</f>
        <v>4.9842118111016777E-3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658902</v>
      </c>
      <c r="C8" s="174">
        <f>B8/B10</f>
        <v>0.72758050677611807</v>
      </c>
      <c r="D8" s="77">
        <f>B8/National!B8</f>
        <v>4.823370770185147E-3</v>
      </c>
      <c r="E8" s="1"/>
      <c r="F8" s="146" t="s">
        <v>32</v>
      </c>
      <c r="G8" s="206">
        <f>25/100</f>
        <v>0.25</v>
      </c>
      <c r="H8" s="87"/>
      <c r="I8" s="87"/>
    </row>
    <row r="9" spans="1:9">
      <c r="A9" s="146" t="s">
        <v>169</v>
      </c>
      <c r="B9" s="150">
        <v>246705</v>
      </c>
      <c r="C9" s="175">
        <f>B9/B10</f>
        <v>0.27241949322388187</v>
      </c>
      <c r="D9" s="78">
        <f>B9/National!B9</f>
        <v>6.3978820560991337E-3</v>
      </c>
      <c r="E9" s="1"/>
      <c r="F9" s="146" t="s">
        <v>31</v>
      </c>
      <c r="G9" s="207">
        <f>25/100</f>
        <v>0.25</v>
      </c>
      <c r="H9" s="87"/>
      <c r="I9" s="87"/>
    </row>
    <row r="10" spans="1:9">
      <c r="A10" s="9" t="s">
        <v>9</v>
      </c>
      <c r="B10" s="152">
        <f>SUM(B8:B9)</f>
        <v>905607</v>
      </c>
      <c r="C10" s="176">
        <f>SUM(C8:C9)</f>
        <v>1</v>
      </c>
      <c r="D10" s="165"/>
      <c r="E10" s="1"/>
      <c r="F10" s="146" t="s">
        <v>33</v>
      </c>
      <c r="G10" s="205">
        <f>22.5/100</f>
        <v>0.22500000000000001</v>
      </c>
      <c r="H10" s="87"/>
      <c r="I10" s="87"/>
    </row>
    <row r="11" spans="1:9">
      <c r="A11" s="146" t="s">
        <v>170</v>
      </c>
      <c r="B11" s="149">
        <v>37455</v>
      </c>
      <c r="C11" s="93">
        <f>B11/(B12+B11)</f>
        <v>5.7981401987358801E-2</v>
      </c>
      <c r="D11" s="77">
        <f>B11/National!B11</f>
        <v>9.9313357706271102E-3</v>
      </c>
      <c r="E11" s="1"/>
      <c r="G11" s="49"/>
      <c r="H11" s="87"/>
      <c r="I11" s="86"/>
    </row>
    <row r="12" spans="1:9" ht="23.25">
      <c r="A12" s="146" t="s">
        <v>171</v>
      </c>
      <c r="B12" s="150">
        <v>608528</v>
      </c>
      <c r="C12" s="95">
        <f>B12/(B11+B12)</f>
        <v>0.94201859801264121</v>
      </c>
      <c r="D12" s="79">
        <f>B12/National!B12</f>
        <v>4.6029161131003887E-3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534911</v>
      </c>
      <c r="H13" s="189">
        <f>G13/G$18</f>
        <v>0.38694484069687701</v>
      </c>
      <c r="I13" s="92">
        <f>+G13/National!G13</f>
        <v>3.9021856772917373E-3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779391</v>
      </c>
      <c r="H14" s="86">
        <f>G14/G$18</f>
        <v>0.5637972042743179</v>
      </c>
      <c r="I14" s="106">
        <f>+G14/National!G14</f>
        <v>7.0698456109852623E-3</v>
      </c>
    </row>
    <row r="15" spans="1:9">
      <c r="A15" s="146" t="s">
        <v>3</v>
      </c>
      <c r="B15" s="149">
        <v>42128</v>
      </c>
      <c r="C15" s="174">
        <f>B15/B$17</f>
        <v>0.88156022432409809</v>
      </c>
      <c r="D15" s="77">
        <f>B15/National!B15</f>
        <v>1.4150075170594929E-2</v>
      </c>
      <c r="E15" s="3"/>
      <c r="F15" s="146" t="s">
        <v>13</v>
      </c>
      <c r="G15" s="150">
        <v>3931</v>
      </c>
      <c r="H15" s="86">
        <f>G15/G$18</f>
        <v>2.8436135521225465E-3</v>
      </c>
      <c r="I15" s="106">
        <f>+G15/National!G15</f>
        <v>4.661404848525094E-3</v>
      </c>
    </row>
    <row r="16" spans="1:9">
      <c r="A16" s="146" t="s">
        <v>2</v>
      </c>
      <c r="B16" s="150">
        <v>5660</v>
      </c>
      <c r="C16" s="175">
        <f>B16/B$17</f>
        <v>0.1184397756759019</v>
      </c>
      <c r="D16" s="78">
        <f>B16/National!B16</f>
        <v>5.3118606528145358E-3</v>
      </c>
      <c r="E16" s="1"/>
      <c r="F16" s="9" t="s">
        <v>1</v>
      </c>
      <c r="G16" s="162">
        <v>1318233</v>
      </c>
      <c r="H16" s="105"/>
      <c r="I16" s="106"/>
    </row>
    <row r="17" spans="1:9">
      <c r="A17" s="9" t="s">
        <v>1</v>
      </c>
      <c r="B17" s="154">
        <f>SUM(B15:B16)</f>
        <v>47788</v>
      </c>
      <c r="C17" s="176">
        <f>SUM(C15:C16)</f>
        <v>1</v>
      </c>
      <c r="D17" s="177">
        <f>B17/National!B17</f>
        <v>1.1820613995163709E-2</v>
      </c>
      <c r="E17" s="1"/>
      <c r="F17" s="108" t="s">
        <v>35</v>
      </c>
      <c r="G17" s="117">
        <v>64163</v>
      </c>
      <c r="H17" s="105">
        <f>G17/G$18</f>
        <v>4.6414341476682511E-2</v>
      </c>
      <c r="I17" s="106">
        <f>+G17/National!G17</f>
        <v>8.3258677390824123E-3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1382396</v>
      </c>
      <c r="H18" s="185">
        <f>SUM(H13:H17)</f>
        <v>1</v>
      </c>
      <c r="I18" s="186">
        <f>+G18/National!G18</f>
        <v>5.4027025675206699E-3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522+90</f>
        <v>612</v>
      </c>
      <c r="C20" s="174">
        <f>B20/B$26</f>
        <v>1.2806026365348399E-2</v>
      </c>
      <c r="D20" s="77">
        <f>B20/National!B20</f>
        <v>1.3090629077452889E-2</v>
      </c>
      <c r="E20" s="51"/>
      <c r="F20" s="163" t="s">
        <v>3</v>
      </c>
      <c r="G20" s="108">
        <f>149+25</f>
        <v>174</v>
      </c>
      <c r="H20" s="189">
        <f>G20/G$23</f>
        <v>0.75</v>
      </c>
      <c r="I20" s="92">
        <f>+G20/National!G20</f>
        <v>8.3625702888451003E-3</v>
      </c>
    </row>
    <row r="21" spans="1:9">
      <c r="A21" s="146" t="s">
        <v>7</v>
      </c>
      <c r="B21" s="157">
        <f>1729+414</f>
        <v>2143</v>
      </c>
      <c r="C21" s="175">
        <f t="shared" ref="C21:C25" si="0">B21/B$26</f>
        <v>4.4842017158401339E-2</v>
      </c>
      <c r="D21" s="78">
        <f>B21/National!B21</f>
        <v>1.3435231276566399E-2</v>
      </c>
      <c r="E21" s="51"/>
      <c r="F21" s="163" t="s">
        <v>2</v>
      </c>
      <c r="G21" s="198">
        <f>49+3</f>
        <v>52</v>
      </c>
      <c r="H21" s="86">
        <f t="shared" ref="H21:H22" si="1">G21/G$23</f>
        <v>0.22413793103448276</v>
      </c>
      <c r="I21" s="106">
        <f>+G21/National!G21</f>
        <v>3.2589621459012284E-3</v>
      </c>
    </row>
    <row r="22" spans="1:9">
      <c r="A22" s="146" t="s">
        <v>6</v>
      </c>
      <c r="B22" s="157">
        <f>1425+629</f>
        <v>2054</v>
      </c>
      <c r="C22" s="175">
        <f t="shared" si="0"/>
        <v>4.2979702866708519E-2</v>
      </c>
      <c r="D22" s="78">
        <f>B22/National!B22</f>
        <v>8.5159310930989444E-3</v>
      </c>
      <c r="E22" s="51"/>
      <c r="F22" s="163" t="s">
        <v>28</v>
      </c>
      <c r="G22" s="181">
        <v>6</v>
      </c>
      <c r="H22" s="86">
        <f t="shared" si="1"/>
        <v>2.5862068965517241E-2</v>
      </c>
      <c r="I22" s="106">
        <f>+G22/National!G22</f>
        <v>1.2048192771084338E-2</v>
      </c>
    </row>
    <row r="23" spans="1:9">
      <c r="A23" s="146" t="s">
        <v>30</v>
      </c>
      <c r="B23" s="157">
        <f>5778+4030+650</f>
        <v>10458</v>
      </c>
      <c r="C23" s="175">
        <f t="shared" si="0"/>
        <v>0.21883239171374766</v>
      </c>
      <c r="D23" s="78">
        <f>B23/National!B23</f>
        <v>1.3159898173746394E-2</v>
      </c>
      <c r="E23" s="51"/>
      <c r="F23" s="9" t="s">
        <v>1</v>
      </c>
      <c r="G23" s="197">
        <f>SUM(G20:G22)</f>
        <v>232</v>
      </c>
      <c r="H23" s="132">
        <f>SUM(H20:H22)</f>
        <v>1</v>
      </c>
      <c r="I23" s="133">
        <f>+G23/National!G23</f>
        <v>6.2263492659885671E-3</v>
      </c>
    </row>
    <row r="24" spans="1:9">
      <c r="A24" s="146" t="s">
        <v>8</v>
      </c>
      <c r="B24" s="157">
        <f>28644+3879</f>
        <v>32523</v>
      </c>
      <c r="C24" s="175">
        <f t="shared" si="0"/>
        <v>0.68053986189579407</v>
      </c>
      <c r="D24" s="78">
        <f>B24/National!B24</f>
        <v>1.1659897953037747E-2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0</v>
      </c>
      <c r="C25" s="175">
        <f t="shared" si="0"/>
        <v>0</v>
      </c>
      <c r="D25" s="78">
        <f>B25/National!B25</f>
        <v>0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47790</v>
      </c>
      <c r="C26" s="176">
        <f>SUM(C20:C25)</f>
        <v>1</v>
      </c>
      <c r="D26" s="177">
        <f>B26/National!B26</f>
        <v>1.1821079465654557E-2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802706</v>
      </c>
      <c r="H27" s="87"/>
      <c r="I27" s="113">
        <f>+G27/National!G27</f>
        <v>5.8133741107059779E-3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801518</v>
      </c>
      <c r="H28" s="87"/>
      <c r="I28" s="114">
        <f>+G28/National!G28</f>
        <v>6.0273274921732603E-3</v>
      </c>
    </row>
    <row r="29" spans="1:9">
      <c r="A29" s="146" t="s">
        <v>91</v>
      </c>
      <c r="B29" s="149">
        <f>4633+325</f>
        <v>4958</v>
      </c>
      <c r="C29" s="174">
        <f>B29/B$34</f>
        <v>0.10374989537122289</v>
      </c>
      <c r="D29" s="77">
        <f>B29/National!B29</f>
        <v>6.3585868496010816E-3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15369+148</f>
        <v>15517</v>
      </c>
      <c r="C30" s="175">
        <f t="shared" ref="C30:C33" si="2">B30/B$34</f>
        <v>0.32470494684858126</v>
      </c>
      <c r="D30" s="78">
        <f>B30/National!B30</f>
        <v>8.6781883687556145E-3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32+2700</f>
        <v>2732</v>
      </c>
      <c r="C31" s="175">
        <f t="shared" si="2"/>
        <v>5.7169163806813424E-2</v>
      </c>
      <c r="D31" s="78">
        <f>B31/National!B31</f>
        <v>2.1236901837629425E-3</v>
      </c>
      <c r="E31" s="51"/>
      <c r="F31" s="163" t="s">
        <v>16</v>
      </c>
      <c r="G31" s="168">
        <v>351091</v>
      </c>
      <c r="H31" s="92">
        <f>G31/G$38</f>
        <v>0.35859788819139876</v>
      </c>
      <c r="I31" s="112">
        <f>+G31/National!G31</f>
        <v>8.3114541497330153E-3</v>
      </c>
    </row>
    <row r="32" spans="1:9">
      <c r="A32" s="146" t="s">
        <v>94</v>
      </c>
      <c r="B32" s="157">
        <f>14208+2476</f>
        <v>16684</v>
      </c>
      <c r="C32" s="175">
        <f t="shared" si="2"/>
        <v>0.3491253034234536</v>
      </c>
      <c r="D32" s="78">
        <f>B32/National!B32</f>
        <v>0.29261448339968782</v>
      </c>
      <c r="E32" s="51"/>
      <c r="F32" s="163" t="s">
        <v>17</v>
      </c>
      <c r="G32" s="169">
        <v>372228</v>
      </c>
      <c r="H32" s="106">
        <f t="shared" ref="H32:H37" si="3">G32/G$38</f>
        <v>0.38018683112272311</v>
      </c>
      <c r="I32" s="113">
        <f>+G32/National!G32</f>
        <v>5.983196455372256E-3</v>
      </c>
    </row>
    <row r="33" spans="1:9">
      <c r="A33" s="146" t="s">
        <v>95</v>
      </c>
      <c r="B33" s="150">
        <f>7886+11</f>
        <v>7897</v>
      </c>
      <c r="C33" s="175">
        <f t="shared" si="2"/>
        <v>0.16525069054992886</v>
      </c>
      <c r="D33" s="78">
        <f>B33/National!B33</f>
        <v>6.003862178025119E-2</v>
      </c>
      <c r="E33" s="51"/>
      <c r="F33" s="163" t="s">
        <v>18</v>
      </c>
      <c r="G33" s="169">
        <v>24186</v>
      </c>
      <c r="H33" s="106">
        <f t="shared" si="3"/>
        <v>2.470313543724325E-2</v>
      </c>
      <c r="I33" s="113">
        <f>+G33/National!G33</f>
        <v>7.6134828718828001E-4</v>
      </c>
    </row>
    <row r="34" spans="1:9">
      <c r="A34" s="9" t="s">
        <v>1</v>
      </c>
      <c r="B34" s="154">
        <f>SUM(B29:B33)</f>
        <v>47788</v>
      </c>
      <c r="C34" s="176">
        <f>SUM(C29:C33)</f>
        <v>1</v>
      </c>
      <c r="D34" s="180">
        <f>B34/National!B34</f>
        <v>1.1820613995163709E-2</v>
      </c>
      <c r="E34" s="51"/>
      <c r="F34" s="163" t="s">
        <v>19</v>
      </c>
      <c r="G34" s="169">
        <v>84152</v>
      </c>
      <c r="H34" s="106">
        <f t="shared" si="3"/>
        <v>8.5951304610720827E-2</v>
      </c>
      <c r="I34" s="113">
        <f>+G34/National!G34</f>
        <v>9.7988392115655933E-3</v>
      </c>
    </row>
    <row r="35" spans="1:9">
      <c r="B35" s="49"/>
      <c r="C35" s="96"/>
      <c r="D35" s="96"/>
      <c r="E35" s="51"/>
      <c r="F35" s="163" t="s">
        <v>20</v>
      </c>
      <c r="G35" s="169">
        <v>28544</v>
      </c>
      <c r="H35" s="106">
        <f t="shared" si="3"/>
        <v>2.9154316460790183E-2</v>
      </c>
      <c r="I35" s="113">
        <f>+G35/National!G35</f>
        <v>2.1410049476986185E-3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118529</v>
      </c>
      <c r="H36" s="106">
        <f t="shared" si="3"/>
        <v>0.12106333995869532</v>
      </c>
      <c r="I36" s="113">
        <f>+G36/National!G36</f>
        <v>7.4920810380358586E-3</v>
      </c>
    </row>
    <row r="37" spans="1:9">
      <c r="A37" s="146" t="s">
        <v>5</v>
      </c>
      <c r="B37" s="149">
        <f>2087+389</f>
        <v>2476</v>
      </c>
      <c r="C37" s="174">
        <f>B37/B$43</f>
        <v>2.5231321077732034E-2</v>
      </c>
      <c r="D37" s="77">
        <f>B37/National!B37</f>
        <v>1.15924115587018E-2</v>
      </c>
      <c r="E37" s="51"/>
      <c r="F37" s="163" t="s">
        <v>22</v>
      </c>
      <c r="G37" s="170">
        <v>336</v>
      </c>
      <c r="H37" s="106">
        <f t="shared" si="3"/>
        <v>3.4318421842858399E-4</v>
      </c>
      <c r="I37" s="114">
        <f>+G37/National!G37</f>
        <v>1.3096266484389503E-5</v>
      </c>
    </row>
    <row r="38" spans="1:9">
      <c r="A38" s="146" t="s">
        <v>7</v>
      </c>
      <c r="B38" s="157">
        <f>3991+1219</f>
        <v>5210</v>
      </c>
      <c r="C38" s="175">
        <f t="shared" ref="C38:C42" si="4">B38/B$43</f>
        <v>5.3091753964048423E-2</v>
      </c>
      <c r="D38" s="78">
        <f>B38/National!B38</f>
        <v>1.0910583475387316E-2</v>
      </c>
      <c r="E38" s="51"/>
      <c r="F38" s="47" t="s">
        <v>1</v>
      </c>
      <c r="G38" s="187">
        <f>SUM(G31:G37)</f>
        <v>979066</v>
      </c>
      <c r="H38" s="188">
        <f>SUM(H31:H37)</f>
        <v>1</v>
      </c>
      <c r="I38" s="188">
        <f>+G38/National!G39</f>
        <v>4.8642035480387985E-3</v>
      </c>
    </row>
    <row r="39" spans="1:9">
      <c r="A39" s="146" t="s">
        <v>6</v>
      </c>
      <c r="B39" s="157">
        <f>2956+1395</f>
        <v>4351</v>
      </c>
      <c r="C39" s="175">
        <f t="shared" si="4"/>
        <v>4.4338238291281133E-2</v>
      </c>
      <c r="D39" s="78">
        <f>B39/National!B39</f>
        <v>7.8724770891194801E-3</v>
      </c>
      <c r="E39" s="51"/>
      <c r="H39" s="87"/>
      <c r="I39" s="87"/>
    </row>
    <row r="40" spans="1:9" ht="23.25">
      <c r="A40" s="146" t="s">
        <v>30</v>
      </c>
      <c r="B40" s="157">
        <f>11669+8061+1318</f>
        <v>21048</v>
      </c>
      <c r="C40" s="175">
        <f t="shared" si="4"/>
        <v>0.21448660987241674</v>
      </c>
      <c r="D40" s="78">
        <f>B40/National!B40</f>
        <v>1.3083092055291106E-2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57289+7758</f>
        <v>65047</v>
      </c>
      <c r="C41" s="175">
        <f t="shared" si="4"/>
        <v>0.66285207679452163</v>
      </c>
      <c r="D41" s="78">
        <f>B41/National!B41</f>
        <v>1.166008556979488E-2</v>
      </c>
      <c r="E41" s="51"/>
      <c r="F41" s="163" t="s">
        <v>38</v>
      </c>
      <c r="G41" s="168">
        <v>553100</v>
      </c>
      <c r="H41" s="189">
        <f>G41/G$47</f>
        <v>0.58420358296039432</v>
      </c>
      <c r="I41" s="113">
        <f>+G41/National!G42</f>
        <v>6.0989377152353827E-3</v>
      </c>
    </row>
    <row r="42" spans="1:9">
      <c r="A42" s="156" t="s">
        <v>29</v>
      </c>
      <c r="B42" s="150">
        <v>0</v>
      </c>
      <c r="C42" s="175">
        <f t="shared" si="4"/>
        <v>0</v>
      </c>
      <c r="D42" s="78">
        <f>B42/National!B42</f>
        <v>0</v>
      </c>
      <c r="E42" s="51"/>
      <c r="F42" s="163" t="s">
        <v>39</v>
      </c>
      <c r="G42" s="169">
        <v>257439</v>
      </c>
      <c r="H42" s="86">
        <f t="shared" ref="H42:H46" si="5">G42/G$47</f>
        <v>0.27191608424107933</v>
      </c>
      <c r="I42" s="113">
        <f>+G42/National!G43</f>
        <v>5.7805142517601124E-3</v>
      </c>
    </row>
    <row r="43" spans="1:9">
      <c r="A43" s="9" t="s">
        <v>1</v>
      </c>
      <c r="B43" s="154">
        <f>SUM(B37:B42)</f>
        <v>98132</v>
      </c>
      <c r="C43" s="178">
        <f>SUM(C37:C42)</f>
        <v>1</v>
      </c>
      <c r="D43" s="179">
        <f>B43/National!B43</f>
        <v>1.1566756078434515E-2</v>
      </c>
      <c r="E43" s="51"/>
      <c r="F43" s="163" t="s">
        <v>40</v>
      </c>
      <c r="G43" s="169">
        <v>63952</v>
      </c>
      <c r="H43" s="86">
        <f t="shared" si="5"/>
        <v>6.7548341235731585E-2</v>
      </c>
      <c r="I43" s="113">
        <f>+G43/National!G44</f>
        <v>4.8814687456467934E-3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40475</v>
      </c>
      <c r="H44" s="86">
        <f t="shared" si="5"/>
        <v>4.2751111951404741E-2</v>
      </c>
      <c r="I44" s="113">
        <f>+G44/National!G45</f>
        <v>2.7491915441049115E-3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820</v>
      </c>
      <c r="H45" s="86">
        <f t="shared" si="5"/>
        <v>8.6611270661277051E-4</v>
      </c>
      <c r="I45" s="113">
        <f>+G45/National!G46</f>
        <v>9.8571257703133425E-5</v>
      </c>
    </row>
    <row r="46" spans="1:9">
      <c r="A46" s="8" t="s">
        <v>3</v>
      </c>
      <c r="B46" s="52">
        <v>9119</v>
      </c>
      <c r="C46" s="93">
        <f>B46/B$48</f>
        <v>0.59792800472100194</v>
      </c>
      <c r="D46" s="77">
        <f>B46/National!B48</f>
        <v>9.2072236166951728E-3</v>
      </c>
      <c r="E46" s="51"/>
      <c r="F46" s="163" t="s">
        <v>43</v>
      </c>
      <c r="G46" s="170">
        <v>30973</v>
      </c>
      <c r="H46" s="86">
        <f t="shared" si="5"/>
        <v>3.2714766904777245E-2</v>
      </c>
      <c r="I46" s="113">
        <f>+G46/National!G47</f>
        <v>3.8881384098439081E-3</v>
      </c>
    </row>
    <row r="47" spans="1:9">
      <c r="A47" s="8" t="s">
        <v>2</v>
      </c>
      <c r="B47" s="52">
        <v>6132</v>
      </c>
      <c r="C47" s="97">
        <f>B47/B$48</f>
        <v>0.40207199527899812</v>
      </c>
      <c r="D47" s="78">
        <f>B47/National!B49</f>
        <v>3.0921425189262622E-3</v>
      </c>
      <c r="E47" s="51"/>
      <c r="F47" s="9" t="s">
        <v>1</v>
      </c>
      <c r="G47" s="191">
        <f>SUM(G41:G46)</f>
        <v>946759</v>
      </c>
      <c r="H47" s="182">
        <f>SUM(H41:H46)</f>
        <v>1</v>
      </c>
      <c r="I47" s="188">
        <f>+G47/National!G49</f>
        <v>5.2186207304674463E-3</v>
      </c>
    </row>
    <row r="48" spans="1:9">
      <c r="A48" s="9" t="s">
        <v>1</v>
      </c>
      <c r="B48" s="155">
        <f>SUM(B46:B47)</f>
        <v>15251</v>
      </c>
      <c r="C48" s="165">
        <f>SUM(C46:C47)</f>
        <v>1</v>
      </c>
      <c r="D48" s="177">
        <f>B48/National!B50</f>
        <v>5.1289570672225981E-3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168981</v>
      </c>
      <c r="H50" s="189">
        <f>G50/G$52</f>
        <v>0.86699605959857162</v>
      </c>
      <c r="I50" s="113">
        <f>+G50/National!G52</f>
        <v>5.3915706300825652E-3</v>
      </c>
    </row>
    <row r="51" spans="1:9">
      <c r="A51" s="146" t="s">
        <v>5</v>
      </c>
      <c r="B51" s="149">
        <f>2101+1250</f>
        <v>3351</v>
      </c>
      <c r="C51" s="174">
        <f>B51/B$57</f>
        <v>0.21972329683299455</v>
      </c>
      <c r="D51" s="77">
        <f>B51/National!B53</f>
        <v>4.6581714001342825E-3</v>
      </c>
      <c r="E51" s="51"/>
      <c r="F51" s="163" t="s">
        <v>97</v>
      </c>
      <c r="G51" s="194">
        <v>25923</v>
      </c>
      <c r="H51" s="86">
        <f>G51/G$52</f>
        <v>0.13300394040142841</v>
      </c>
      <c r="I51" s="113">
        <f>+G51/National!G53</f>
        <v>5.1405648930134681E-3</v>
      </c>
    </row>
    <row r="52" spans="1:9">
      <c r="A52" s="146" t="s">
        <v>7</v>
      </c>
      <c r="B52" s="157">
        <f>2284+2001</f>
        <v>4285</v>
      </c>
      <c r="C52" s="175">
        <f t="shared" ref="C52:C56" si="6">B52/B$57</f>
        <v>0.28096518261097631</v>
      </c>
      <c r="D52" s="78">
        <f>B52/National!B54</f>
        <v>6.2566892549940356E-3</v>
      </c>
      <c r="E52" s="51"/>
      <c r="F52" s="60" t="s">
        <v>1</v>
      </c>
      <c r="G52" s="190">
        <f>SUM(G50:G51)</f>
        <v>194904</v>
      </c>
      <c r="H52" s="185">
        <f>SUM(H50:H51)</f>
        <v>1</v>
      </c>
      <c r="I52" s="192">
        <f>+G52/National!G54</f>
        <v>5.3567816852287207E-3</v>
      </c>
    </row>
    <row r="53" spans="1:9">
      <c r="A53" s="146" t="s">
        <v>6</v>
      </c>
      <c r="B53" s="157">
        <f>1003+1443</f>
        <v>2446</v>
      </c>
      <c r="C53" s="175">
        <f t="shared" si="6"/>
        <v>0.16038292570978951</v>
      </c>
      <c r="D53" s="78">
        <f>B53/National!B55</f>
        <v>4.6237486011553698E-3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1270+235+553</f>
        <v>2058</v>
      </c>
      <c r="C54" s="175">
        <f t="shared" si="6"/>
        <v>0.13494197101829389</v>
      </c>
      <c r="D54" s="78">
        <f>B54/National!B56</f>
        <v>4.9406189457612227E-3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2226+885</f>
        <v>3111</v>
      </c>
      <c r="C55" s="175">
        <f t="shared" si="6"/>
        <v>0.20398662382794572</v>
      </c>
      <c r="D55" s="78">
        <f>B55/National!B57</f>
        <v>7.7565186171406342E-3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0</v>
      </c>
      <c r="C56" s="175">
        <f t="shared" si="6"/>
        <v>0</v>
      </c>
      <c r="D56" s="78">
        <f>B56/National!B58</f>
        <v>0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15251</v>
      </c>
      <c r="C57" s="178">
        <f>SUM(C51:C56)</f>
        <v>1</v>
      </c>
      <c r="D57" s="177">
        <f>B57/National!B59</f>
        <v>5.1289570672225981E-3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53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12901563</v>
      </c>
      <c r="C4" s="99"/>
      <c r="D4" s="77">
        <f>B4/National!B4</f>
        <v>4.2431015953957783E-2</v>
      </c>
      <c r="E4" s="1"/>
      <c r="F4" s="146" t="s">
        <v>10</v>
      </c>
      <c r="G4" s="195">
        <v>4077278</v>
      </c>
      <c r="H4" s="189">
        <f>G4/G$6</f>
        <v>0.49356102332180113</v>
      </c>
      <c r="I4" s="112">
        <f>+G4/National!G4</f>
        <v>3.9349067010086516E-2</v>
      </c>
    </row>
    <row r="5" spans="1:9">
      <c r="A5" s="8" t="s">
        <v>167</v>
      </c>
      <c r="B5" s="50">
        <f>50111+5473</f>
        <v>55584</v>
      </c>
      <c r="C5" s="100"/>
      <c r="D5" s="79">
        <f>B5/National!B5</f>
        <v>1.5713053588738299E-2</v>
      </c>
      <c r="E5" s="1"/>
      <c r="F5" s="146" t="s">
        <v>11</v>
      </c>
      <c r="G5" s="196">
        <v>4183662</v>
      </c>
      <c r="H5" s="86">
        <f>G5/G$6</f>
        <v>0.50643897667819882</v>
      </c>
      <c r="I5" s="113">
        <f>+G5/National!G5</f>
        <v>3.9957636516948759E-2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8260940</v>
      </c>
      <c r="H6" s="182">
        <f>SUM(H4:H5)</f>
        <v>1</v>
      </c>
      <c r="I6" s="183">
        <f>+G6/National!G6</f>
        <v>3.9654935519315253E-2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4896340</v>
      </c>
      <c r="C8" s="174">
        <f>B8/B10</f>
        <v>0.76828966526016862</v>
      </c>
      <c r="D8" s="77">
        <f>B8/National!B8</f>
        <v>3.5842755427800105E-2</v>
      </c>
      <c r="E8" s="1"/>
      <c r="F8" s="146" t="s">
        <v>32</v>
      </c>
      <c r="G8" s="206">
        <f>19/100</f>
        <v>0.19</v>
      </c>
      <c r="H8" s="87"/>
      <c r="I8" s="87"/>
    </row>
    <row r="9" spans="1:9">
      <c r="A9" s="146" t="s">
        <v>169</v>
      </c>
      <c r="B9" s="150">
        <v>1476699</v>
      </c>
      <c r="C9" s="175">
        <f>B9/B10</f>
        <v>0.23171033473983135</v>
      </c>
      <c r="D9" s="78">
        <f>B9/National!B9</f>
        <v>3.8295721750104518E-2</v>
      </c>
      <c r="E9" s="1"/>
      <c r="F9" s="146" t="s">
        <v>31</v>
      </c>
      <c r="G9" s="207">
        <f>21.5/100</f>
        <v>0.215</v>
      </c>
      <c r="H9" s="87"/>
      <c r="I9" s="87"/>
    </row>
    <row r="10" spans="1:9">
      <c r="A10" s="9" t="s">
        <v>9</v>
      </c>
      <c r="B10" s="152">
        <f>SUM(B8:B9)</f>
        <v>6373039</v>
      </c>
      <c r="C10" s="176">
        <f>SUM(C8:C9)</f>
        <v>1</v>
      </c>
      <c r="D10" s="165"/>
      <c r="E10" s="1"/>
      <c r="F10" s="146" t="s">
        <v>33</v>
      </c>
      <c r="G10" s="205">
        <f>19/100</f>
        <v>0.19</v>
      </c>
      <c r="H10" s="87"/>
      <c r="I10" s="87"/>
    </row>
    <row r="11" spans="1:9">
      <c r="A11" s="146" t="s">
        <v>170</v>
      </c>
      <c r="B11" s="149">
        <v>107449</v>
      </c>
      <c r="C11" s="93">
        <f>B11/(B12+B11)</f>
        <v>2.173195922160636E-2</v>
      </c>
      <c r="D11" s="77">
        <f>B11/National!B11</f>
        <v>2.8490511205930113E-2</v>
      </c>
      <c r="E11" s="1"/>
      <c r="G11" s="49"/>
      <c r="H11" s="87"/>
      <c r="I11" s="86"/>
    </row>
    <row r="12" spans="1:9" ht="23.25">
      <c r="A12" s="146" t="s">
        <v>171</v>
      </c>
      <c r="B12" s="150">
        <v>4836836</v>
      </c>
      <c r="C12" s="95">
        <f>B12/(B11+B12)</f>
        <v>0.97826804077839369</v>
      </c>
      <c r="D12" s="79">
        <f>B12/National!B12</f>
        <v>3.6585909540438617E-2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5779977</v>
      </c>
      <c r="H13" s="189">
        <f>G13/G$18</f>
        <v>0.57081389299389329</v>
      </c>
      <c r="I13" s="92">
        <f>+G13/National!G13</f>
        <v>4.2165039538307615E-2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3994678</v>
      </c>
      <c r="H14" s="86">
        <f>G14/G$18</f>
        <v>0.39450290207678329</v>
      </c>
      <c r="I14" s="106">
        <f>+G14/National!G14</f>
        <v>3.6235672115278963E-2</v>
      </c>
    </row>
    <row r="15" spans="1:9">
      <c r="A15" s="146" t="s">
        <v>3</v>
      </c>
      <c r="B15" s="149">
        <v>98202</v>
      </c>
      <c r="C15" s="174">
        <f>B15/B$17</f>
        <v>0.70399736185587702</v>
      </c>
      <c r="D15" s="77">
        <f>B15/National!B15</f>
        <v>3.2984373383563505E-2</v>
      </c>
      <c r="E15" s="3"/>
      <c r="F15" s="146" t="s">
        <v>13</v>
      </c>
      <c r="G15" s="150">
        <v>19166</v>
      </c>
      <c r="H15" s="86">
        <f>G15/G$18</f>
        <v>1.8927789977574232E-3</v>
      </c>
      <c r="I15" s="106">
        <f>+G15/National!G15</f>
        <v>2.2727164926693449E-2</v>
      </c>
    </row>
    <row r="16" spans="1:9">
      <c r="A16" s="146" t="s">
        <v>2</v>
      </c>
      <c r="B16" s="150">
        <v>41290</v>
      </c>
      <c r="C16" s="175">
        <f>B16/B$17</f>
        <v>0.29600263814412298</v>
      </c>
      <c r="D16" s="78">
        <f>B16/National!B16</f>
        <v>3.8750305009666461E-2</v>
      </c>
      <c r="E16" s="1"/>
      <c r="F16" s="9" t="s">
        <v>1</v>
      </c>
      <c r="G16" s="162">
        <v>9793821</v>
      </c>
      <c r="H16" s="105"/>
      <c r="I16" s="106"/>
    </row>
    <row r="17" spans="1:9">
      <c r="A17" s="9" t="s">
        <v>1</v>
      </c>
      <c r="B17" s="154">
        <f>SUM(B15:B16)</f>
        <v>139492</v>
      </c>
      <c r="C17" s="176">
        <f>SUM(C15:C16)</f>
        <v>1</v>
      </c>
      <c r="D17" s="177">
        <f>B17/National!B17</f>
        <v>3.4504082351497788E-2</v>
      </c>
      <c r="E17" s="1"/>
      <c r="F17" s="108" t="s">
        <v>35</v>
      </c>
      <c r="G17" s="117">
        <v>332031</v>
      </c>
      <c r="H17" s="105">
        <f>G17/G$18</f>
        <v>3.2790425931566052E-2</v>
      </c>
      <c r="I17" s="106">
        <f>+G17/National!G17</f>
        <v>4.308474029074813E-2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10125852</v>
      </c>
      <c r="H18" s="185">
        <f>SUM(H13:H17)</f>
        <v>1</v>
      </c>
      <c r="I18" s="186">
        <f>+G18/National!G18</f>
        <v>3.9574019744511926E-2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1356+826</f>
        <v>2182</v>
      </c>
      <c r="C20" s="174">
        <f>B20/B$26</f>
        <v>1.5642474120379665E-2</v>
      </c>
      <c r="D20" s="77">
        <f>B20/National!B20</f>
        <v>4.6672798442814058E-2</v>
      </c>
      <c r="E20" s="51"/>
      <c r="F20" s="163" t="s">
        <v>3</v>
      </c>
      <c r="G20" s="108">
        <f>340+91</f>
        <v>431</v>
      </c>
      <c r="H20" s="189">
        <f>G20/G$23</f>
        <v>0.41323106423777567</v>
      </c>
      <c r="I20" s="92">
        <f>+G20/National!G20</f>
        <v>2.0714182726966887E-2</v>
      </c>
    </row>
    <row r="21" spans="1:9">
      <c r="A21" s="146" t="s">
        <v>7</v>
      </c>
      <c r="B21" s="157">
        <f>2354+3105</f>
        <v>5459</v>
      </c>
      <c r="C21" s="175">
        <f t="shared" ref="C21:C25" si="0">B21/B$26</f>
        <v>3.9134860780546551E-2</v>
      </c>
      <c r="D21" s="78">
        <f>B21/National!B21</f>
        <v>3.4224417890236107E-2</v>
      </c>
      <c r="E21" s="51"/>
      <c r="F21" s="163" t="s">
        <v>2</v>
      </c>
      <c r="G21" s="198">
        <f>530+78</f>
        <v>608</v>
      </c>
      <c r="H21" s="86">
        <f t="shared" ref="H21:H22" si="1">G21/G$23</f>
        <v>0.58293384467881115</v>
      </c>
      <c r="I21" s="106">
        <f>+G21/National!G21</f>
        <v>3.8104788167460518E-2</v>
      </c>
    </row>
    <row r="22" spans="1:9">
      <c r="A22" s="146" t="s">
        <v>6</v>
      </c>
      <c r="B22" s="157">
        <f>4686+4448</f>
        <v>9134</v>
      </c>
      <c r="C22" s="175">
        <f t="shared" si="0"/>
        <v>6.548045766065437E-2</v>
      </c>
      <c r="D22" s="78">
        <f>B22/National!B22</f>
        <v>3.7869773419847014E-2</v>
      </c>
      <c r="E22" s="51"/>
      <c r="F22" s="163" t="s">
        <v>28</v>
      </c>
      <c r="G22" s="181">
        <v>4</v>
      </c>
      <c r="H22" s="86">
        <f t="shared" si="1"/>
        <v>3.8350910834132309E-3</v>
      </c>
      <c r="I22" s="106">
        <f>+G22/National!G22</f>
        <v>8.0321285140562242E-3</v>
      </c>
    </row>
    <row r="23" spans="1:9">
      <c r="A23" s="146" t="s">
        <v>30</v>
      </c>
      <c r="B23" s="157">
        <f>13729+4560+3430</f>
        <v>21719</v>
      </c>
      <c r="C23" s="175">
        <f t="shared" si="0"/>
        <v>0.15570068534396236</v>
      </c>
      <c r="D23" s="78">
        <f>B23/National!B23</f>
        <v>2.7330257069764573E-2</v>
      </c>
      <c r="E23" s="51"/>
      <c r="F23" s="9" t="s">
        <v>1</v>
      </c>
      <c r="G23" s="197">
        <f>SUM(G20:G22)</f>
        <v>1043</v>
      </c>
      <c r="H23" s="132">
        <f>SUM(H20:H22)</f>
        <v>1</v>
      </c>
      <c r="I23" s="133">
        <f>+G23/National!G23</f>
        <v>2.7991733984595153E-2</v>
      </c>
    </row>
    <row r="24" spans="1:9">
      <c r="A24" s="146" t="s">
        <v>8</v>
      </c>
      <c r="B24" s="157">
        <f>72646+28252</f>
        <v>100898</v>
      </c>
      <c r="C24" s="175">
        <f t="shared" si="0"/>
        <v>0.72332463510452216</v>
      </c>
      <c r="D24" s="78">
        <f>B24/National!B24</f>
        <v>3.6173181553534502E-2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100</v>
      </c>
      <c r="C25" s="175">
        <f t="shared" si="0"/>
        <v>7.1688698993490664E-4</v>
      </c>
      <c r="D25" s="78">
        <f>B25/National!B25</f>
        <v>8.82223202470225E-3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139492</v>
      </c>
      <c r="C26" s="176">
        <f>SUM(C20:C25)</f>
        <v>1</v>
      </c>
      <c r="D26" s="177">
        <f>B26/National!B26</f>
        <v>3.450399700404029E-2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5255655</v>
      </c>
      <c r="H27" s="87"/>
      <c r="I27" s="113">
        <f>+G27/National!G27</f>
        <v>3.8062614097568011E-2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5590456</v>
      </c>
      <c r="H28" s="87"/>
      <c r="I28" s="114">
        <f>+G28/National!G28</f>
        <v>4.2039616256384707E-2</v>
      </c>
    </row>
    <row r="29" spans="1:9">
      <c r="A29" s="146" t="s">
        <v>91</v>
      </c>
      <c r="B29" s="149">
        <f>10936+5104</f>
        <v>16040</v>
      </c>
      <c r="C29" s="174">
        <f>B29/B$34</f>
        <v>0.11498949753030661</v>
      </c>
      <c r="D29" s="77">
        <f>B29/National!B29</f>
        <v>2.0571144225010357E-2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14114+2253</f>
        <v>16367</v>
      </c>
      <c r="C30" s="175">
        <f t="shared" ref="C30:C33" si="2">B30/B$34</f>
        <v>0.11733373479292571</v>
      </c>
      <c r="D30" s="78">
        <f>B30/National!B30</f>
        <v>9.1535676375216306E-3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72525+33605</f>
        <v>106130</v>
      </c>
      <c r="C31" s="175">
        <f t="shared" si="2"/>
        <v>0.76083761676380557</v>
      </c>
      <c r="D31" s="78">
        <f>B31/National!B31</f>
        <v>8.2498989459282981E-2</v>
      </c>
      <c r="E31" s="51"/>
      <c r="F31" s="163" t="s">
        <v>16</v>
      </c>
      <c r="G31" s="168">
        <v>1644006</v>
      </c>
      <c r="H31" s="92">
        <f>G31/G$38</f>
        <v>0.19973385924864626</v>
      </c>
      <c r="I31" s="112">
        <f>+G31/National!G31</f>
        <v>3.8918914158682441E-2</v>
      </c>
    </row>
    <row r="32" spans="1:9">
      <c r="A32" s="146" t="s">
        <v>94</v>
      </c>
      <c r="B32" s="157">
        <f>404+303</f>
        <v>707</v>
      </c>
      <c r="C32" s="175">
        <f t="shared" si="2"/>
        <v>5.0684273537360833E-3</v>
      </c>
      <c r="D32" s="78">
        <f>B32/National!B32</f>
        <v>1.2399810582808635E-2</v>
      </c>
      <c r="E32" s="51"/>
      <c r="F32" s="163" t="s">
        <v>17</v>
      </c>
      <c r="G32" s="169">
        <v>3476715</v>
      </c>
      <c r="H32" s="106">
        <f t="shared" ref="H32:H37" si="3">G32/G$38</f>
        <v>0.42239365577598692</v>
      </c>
      <c r="I32" s="113">
        <f>+G32/National!G32</f>
        <v>5.5884750379712314E-2</v>
      </c>
    </row>
    <row r="33" spans="1:9">
      <c r="A33" s="146" t="s">
        <v>95</v>
      </c>
      <c r="B33" s="150">
        <f>223+24</f>
        <v>247</v>
      </c>
      <c r="C33" s="175">
        <f t="shared" si="2"/>
        <v>1.7707235592260432E-3</v>
      </c>
      <c r="D33" s="78">
        <f>B33/National!B33</f>
        <v>1.8778700240245721E-3</v>
      </c>
      <c r="E33" s="51"/>
      <c r="F33" s="163" t="s">
        <v>18</v>
      </c>
      <c r="G33" s="169">
        <v>503674</v>
      </c>
      <c r="H33" s="106">
        <f t="shared" si="3"/>
        <v>6.119244809520321E-2</v>
      </c>
      <c r="I33" s="113">
        <f>+G33/National!G33</f>
        <v>1.5855095394082103E-2</v>
      </c>
    </row>
    <row r="34" spans="1:9">
      <c r="A34" s="9" t="s">
        <v>1</v>
      </c>
      <c r="B34" s="154">
        <f>SUM(B29:B33)</f>
        <v>139491</v>
      </c>
      <c r="C34" s="176">
        <f>SUM(C29:C33)</f>
        <v>1</v>
      </c>
      <c r="D34" s="180">
        <f>B34/National!B34</f>
        <v>3.4503834996220409E-2</v>
      </c>
      <c r="E34" s="51"/>
      <c r="F34" s="163" t="s">
        <v>19</v>
      </c>
      <c r="G34" s="169">
        <v>833330</v>
      </c>
      <c r="H34" s="106">
        <f t="shared" si="3"/>
        <v>0.10124307145331245</v>
      </c>
      <c r="I34" s="113">
        <f>+G34/National!G34</f>
        <v>9.7034730965086455E-2</v>
      </c>
    </row>
    <row r="35" spans="1:9">
      <c r="B35" s="49"/>
      <c r="C35" s="96"/>
      <c r="D35" s="96"/>
      <c r="E35" s="51"/>
      <c r="F35" s="163" t="s">
        <v>20</v>
      </c>
      <c r="G35" s="169">
        <v>444086</v>
      </c>
      <c r="H35" s="106">
        <f t="shared" si="3"/>
        <v>5.3952972567189117E-2</v>
      </c>
      <c r="I35" s="113">
        <f>+G35/National!G35</f>
        <v>3.330963856515165E-2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300918</v>
      </c>
      <c r="H36" s="106">
        <f t="shared" si="3"/>
        <v>3.6559181327430759E-2</v>
      </c>
      <c r="I36" s="113">
        <f>+G36/National!G36</f>
        <v>1.9020678836433907E-2</v>
      </c>
    </row>
    <row r="37" spans="1:9">
      <c r="A37" s="146" t="s">
        <v>5</v>
      </c>
      <c r="B37" s="149">
        <f>5450+4243</f>
        <v>9693</v>
      </c>
      <c r="C37" s="174">
        <f>B37/B$43</f>
        <v>3.3105751923740302E-2</v>
      </c>
      <c r="D37" s="77">
        <f>B37/National!B37</f>
        <v>4.5381763020394407E-2</v>
      </c>
      <c r="E37" s="51"/>
      <c r="F37" s="163" t="s">
        <v>22</v>
      </c>
      <c r="G37" s="170">
        <v>1028254</v>
      </c>
      <c r="H37" s="106">
        <f t="shared" si="3"/>
        <v>0.12492481153223133</v>
      </c>
      <c r="I37" s="114">
        <f>+G37/National!G37</f>
        <v>4.0078239278688824E-2</v>
      </c>
    </row>
    <row r="38" spans="1:9">
      <c r="A38" s="146" t="s">
        <v>7</v>
      </c>
      <c r="B38" s="157">
        <f>5279+10236</f>
        <v>15515</v>
      </c>
      <c r="C38" s="175">
        <f t="shared" ref="C38:C42" si="4">B38/B$43</f>
        <v>5.2990378736906096E-2</v>
      </c>
      <c r="D38" s="78">
        <f>B38/National!B38</f>
        <v>3.2490921808183144E-2</v>
      </c>
      <c r="E38" s="51"/>
      <c r="F38" s="47" t="s">
        <v>1</v>
      </c>
      <c r="G38" s="187">
        <f>SUM(G31:G37)</f>
        <v>8230983</v>
      </c>
      <c r="H38" s="188">
        <f>SUM(H31:H37)</f>
        <v>1</v>
      </c>
      <c r="I38" s="188">
        <f>+G38/National!G39</f>
        <v>4.0893235708774518E-2</v>
      </c>
    </row>
    <row r="39" spans="1:9">
      <c r="A39" s="146" t="s">
        <v>6</v>
      </c>
      <c r="B39" s="157">
        <f>9383+11875</f>
        <v>21258</v>
      </c>
      <c r="C39" s="175">
        <f t="shared" si="4"/>
        <v>7.2605186670264249E-2</v>
      </c>
      <c r="D39" s="78">
        <f>B39/National!B39</f>
        <v>3.8463139039416665E-2</v>
      </c>
      <c r="E39" s="51"/>
      <c r="H39" s="87"/>
      <c r="I39" s="87"/>
    </row>
    <row r="40" spans="1:9" ht="23.25">
      <c r="A40" s="146" t="s">
        <v>30</v>
      </c>
      <c r="B40" s="157">
        <f>27463+6860+9786</f>
        <v>44109</v>
      </c>
      <c r="C40" s="175">
        <f t="shared" si="4"/>
        <v>0.15065115151183958</v>
      </c>
      <c r="D40" s="78">
        <f>B40/National!B40</f>
        <v>2.7417431939701416E-2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56502+145293</f>
        <v>201795</v>
      </c>
      <c r="C41" s="175">
        <f t="shared" si="4"/>
        <v>0.68921646646561174</v>
      </c>
      <c r="D41" s="78">
        <f>B41/National!B41</f>
        <v>3.6173028234303781E-2</v>
      </c>
      <c r="E41" s="51"/>
      <c r="F41" s="163" t="s">
        <v>38</v>
      </c>
      <c r="G41" s="168">
        <v>3517012</v>
      </c>
      <c r="H41" s="189">
        <f>G41/G$47</f>
        <v>0.49324016450632324</v>
      </c>
      <c r="I41" s="113">
        <f>+G41/National!G42</f>
        <v>3.8781480983068925E-2</v>
      </c>
    </row>
    <row r="42" spans="1:9">
      <c r="A42" s="156" t="s">
        <v>29</v>
      </c>
      <c r="B42" s="150">
        <v>419</v>
      </c>
      <c r="C42" s="175">
        <f t="shared" si="4"/>
        <v>1.4310646916380055E-3</v>
      </c>
      <c r="D42" s="78">
        <f>B42/National!B42</f>
        <v>7.9386131110269036E-3</v>
      </c>
      <c r="E42" s="51"/>
      <c r="F42" s="163" t="s">
        <v>39</v>
      </c>
      <c r="G42" s="169">
        <v>1693630</v>
      </c>
      <c r="H42" s="86">
        <f t="shared" ref="H42:H46" si="5">G42/G$47</f>
        <v>0.23752160635586239</v>
      </c>
      <c r="I42" s="113">
        <f>+G42/National!G43</f>
        <v>3.8028629509159369E-2</v>
      </c>
    </row>
    <row r="43" spans="1:9">
      <c r="A43" s="9" t="s">
        <v>1</v>
      </c>
      <c r="B43" s="154">
        <f>SUM(B37:B42)</f>
        <v>292789</v>
      </c>
      <c r="C43" s="178">
        <f>SUM(C37:C42)</f>
        <v>1</v>
      </c>
      <c r="D43" s="179">
        <f>B43/National!B43</f>
        <v>3.451085217308078E-2</v>
      </c>
      <c r="E43" s="51"/>
      <c r="F43" s="163" t="s">
        <v>40</v>
      </c>
      <c r="G43" s="169">
        <v>541408</v>
      </c>
      <c r="H43" s="86">
        <f t="shared" si="5"/>
        <v>7.5929274902968621E-2</v>
      </c>
      <c r="I43" s="113">
        <f>+G43/National!G44</f>
        <v>4.1325779188190193E-2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726455</v>
      </c>
      <c r="H44" s="86">
        <f t="shared" si="5"/>
        <v>0.10188102392213648</v>
      </c>
      <c r="I44" s="113">
        <f>+G44/National!G45</f>
        <v>4.9343148688640731E-2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361587</v>
      </c>
      <c r="H45" s="86">
        <f t="shared" si="5"/>
        <v>5.0710441523471601E-2</v>
      </c>
      <c r="I45" s="113">
        <f>+G45/National!G46</f>
        <v>4.3465957755003545E-2</v>
      </c>
    </row>
    <row r="46" spans="1:9">
      <c r="A46" s="8" t="s">
        <v>3</v>
      </c>
      <c r="B46" s="52">
        <v>27306</v>
      </c>
      <c r="C46" s="93">
        <f>B46/B$48</f>
        <v>0.25741192884548308</v>
      </c>
      <c r="D46" s="77">
        <f>B46/National!B48</f>
        <v>2.7570177440232307E-2</v>
      </c>
      <c r="E46" s="51"/>
      <c r="F46" s="163" t="s">
        <v>43</v>
      </c>
      <c r="G46" s="170">
        <v>290333</v>
      </c>
      <c r="H46" s="86">
        <f t="shared" si="5"/>
        <v>4.0717488789237671E-2</v>
      </c>
      <c r="I46" s="113">
        <f>+G46/National!G47</f>
        <v>3.6446417490885979E-2</v>
      </c>
    </row>
    <row r="47" spans="1:9">
      <c r="A47" s="8" t="s">
        <v>2</v>
      </c>
      <c r="B47" s="52">
        <v>78773</v>
      </c>
      <c r="C47" s="97">
        <f>B47/B$48</f>
        <v>0.74258807115451697</v>
      </c>
      <c r="D47" s="78">
        <f>B47/National!B49</f>
        <v>3.9722332459781219E-2</v>
      </c>
      <c r="E47" s="51"/>
      <c r="F47" s="9" t="s">
        <v>1</v>
      </c>
      <c r="G47" s="191">
        <f>SUM(G41:G46)</f>
        <v>7130425</v>
      </c>
      <c r="H47" s="182">
        <f>SUM(H41:H46)</f>
        <v>1</v>
      </c>
      <c r="I47" s="188">
        <f>+G47/National!G49</f>
        <v>3.9303543691735006E-2</v>
      </c>
    </row>
    <row r="48" spans="1:9">
      <c r="A48" s="9" t="s">
        <v>1</v>
      </c>
      <c r="B48" s="155">
        <f>SUM(B46:B47)</f>
        <v>106079</v>
      </c>
      <c r="C48" s="165">
        <f>SUM(C46:C47)</f>
        <v>1</v>
      </c>
      <c r="D48" s="177">
        <f>B48/National!B50</f>
        <v>3.5674686035925905E-2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1171228</v>
      </c>
      <c r="H50" s="189">
        <f>G50/G$52</f>
        <v>0.8618916420880357</v>
      </c>
      <c r="I50" s="113">
        <f>+G50/National!G52</f>
        <v>3.7369636148030509E-2</v>
      </c>
    </row>
    <row r="51" spans="1:9">
      <c r="A51" s="146" t="s">
        <v>5</v>
      </c>
      <c r="B51" s="149">
        <f>8972+22437</f>
        <v>31409</v>
      </c>
      <c r="C51" s="174">
        <f>B51/B$57</f>
        <v>0.29609064942165747</v>
      </c>
      <c r="D51" s="77">
        <f>B51/National!B53</f>
        <v>4.3661147569924702E-2</v>
      </c>
      <c r="E51" s="51"/>
      <c r="F51" s="163" t="s">
        <v>97</v>
      </c>
      <c r="G51" s="194">
        <v>187676</v>
      </c>
      <c r="H51" s="86">
        <f>G51/G$52</f>
        <v>0.13810835791196435</v>
      </c>
      <c r="I51" s="113">
        <f>+G51/National!G53</f>
        <v>3.7216396900867789E-2</v>
      </c>
    </row>
    <row r="52" spans="1:9">
      <c r="A52" s="146" t="s">
        <v>7</v>
      </c>
      <c r="B52" s="157">
        <f>3798+21381</f>
        <v>25179</v>
      </c>
      <c r="C52" s="175">
        <f t="shared" ref="C52:C56" si="6">B52/B$57</f>
        <v>0.23736083484949896</v>
      </c>
      <c r="D52" s="78">
        <f>B52/National!B54</f>
        <v>3.676480250910031E-2</v>
      </c>
      <c r="E52" s="51"/>
      <c r="F52" s="60" t="s">
        <v>1</v>
      </c>
      <c r="G52" s="190">
        <f>SUM(G50:G51)</f>
        <v>1358904</v>
      </c>
      <c r="H52" s="185">
        <f>SUM(H50:H51)</f>
        <v>1</v>
      </c>
      <c r="I52" s="192">
        <f>+G52/National!G54</f>
        <v>3.7348397463284742E-2</v>
      </c>
    </row>
    <row r="53" spans="1:9">
      <c r="A53" s="146" t="s">
        <v>6</v>
      </c>
      <c r="B53" s="157">
        <f>4684+15634</f>
        <v>20318</v>
      </c>
      <c r="C53" s="175">
        <f t="shared" si="6"/>
        <v>0.19153649638476983</v>
      </c>
      <c r="D53" s="78">
        <f>B53/National!B55</f>
        <v>3.8407736745001968E-2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5458+445+8368</f>
        <v>14271</v>
      </c>
      <c r="C54" s="175">
        <f t="shared" si="6"/>
        <v>0.13453181119731522</v>
      </c>
      <c r="D54" s="78">
        <f>B54/National!B56</f>
        <v>3.4260239540796114E-2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3949+9806</f>
        <v>13755</v>
      </c>
      <c r="C55" s="175">
        <f t="shared" si="6"/>
        <v>0.12966751194864204</v>
      </c>
      <c r="D55" s="78">
        <f>B55/National!B57</f>
        <v>3.4294732747916883E-2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1147</v>
      </c>
      <c r="C56" s="175">
        <f t="shared" si="6"/>
        <v>1.0812696198116497E-2</v>
      </c>
      <c r="D56" s="78">
        <f>B56/National!B58</f>
        <v>5.1521848497915771E-3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106079</v>
      </c>
      <c r="C57" s="178">
        <f>SUM(C51:C56)</f>
        <v>1</v>
      </c>
      <c r="D57" s="177">
        <f>B57/National!B59</f>
        <v>3.5674686035925905E-2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54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6376792</v>
      </c>
      <c r="C4" s="99"/>
      <c r="D4" s="77">
        <f>B4/National!B4</f>
        <v>2.0972169270271391E-2</v>
      </c>
      <c r="E4" s="1"/>
      <c r="F4" s="146" t="s">
        <v>10</v>
      </c>
      <c r="G4" s="195">
        <v>2784718</v>
      </c>
      <c r="H4" s="189">
        <f>G4/G$6</f>
        <v>0.5017085943548194</v>
      </c>
      <c r="I4" s="112">
        <f>+G4/National!G4</f>
        <v>2.6874805982372088E-2</v>
      </c>
    </row>
    <row r="5" spans="1:9">
      <c r="A5" s="8" t="s">
        <v>167</v>
      </c>
      <c r="B5" s="50">
        <f>31528+4339</f>
        <v>35867</v>
      </c>
      <c r="C5" s="100"/>
      <c r="D5" s="79">
        <f>B5/National!B5</f>
        <v>1.0139250379016923E-2</v>
      </c>
      <c r="E5" s="1"/>
      <c r="F5" s="146" t="s">
        <v>11</v>
      </c>
      <c r="G5" s="196">
        <v>2765751</v>
      </c>
      <c r="H5" s="86">
        <f>G5/G$6</f>
        <v>0.4982914056451806</v>
      </c>
      <c r="I5" s="113">
        <f>+G5/National!G5</f>
        <v>2.6415344536529852E-2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5550469</v>
      </c>
      <c r="H6" s="182">
        <f>SUM(H4:H5)</f>
        <v>1</v>
      </c>
      <c r="I6" s="183">
        <f>+G6/National!G6</f>
        <v>2.6643879546027233E-2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3095866</v>
      </c>
      <c r="C8" s="174">
        <f>B8/B10</f>
        <v>0.70150935272990944</v>
      </c>
      <c r="D8" s="77">
        <f>B8/National!B8</f>
        <v>2.266271702439818E-2</v>
      </c>
      <c r="E8" s="1"/>
      <c r="F8" s="146" t="s">
        <v>32</v>
      </c>
      <c r="G8" s="206">
        <f>18/100</f>
        <v>0.18</v>
      </c>
      <c r="H8" s="87"/>
      <c r="I8" s="87"/>
    </row>
    <row r="9" spans="1:9">
      <c r="A9" s="146" t="s">
        <v>169</v>
      </c>
      <c r="B9" s="150">
        <v>1317284</v>
      </c>
      <c r="C9" s="175">
        <f>B9/B10</f>
        <v>0.2984906472700905</v>
      </c>
      <c r="D9" s="78">
        <f>B9/National!B9</f>
        <v>3.4161560026697846E-2</v>
      </c>
      <c r="E9" s="1"/>
      <c r="F9" s="146" t="s">
        <v>31</v>
      </c>
      <c r="G9" s="207">
        <f>16/100</f>
        <v>0.16</v>
      </c>
      <c r="H9" s="87"/>
      <c r="I9" s="87"/>
    </row>
    <row r="10" spans="1:9">
      <c r="A10" s="9" t="s">
        <v>9</v>
      </c>
      <c r="B10" s="152">
        <f>SUM(B8:B9)</f>
        <v>4413150</v>
      </c>
      <c r="C10" s="176">
        <f>SUM(C8:C9)</f>
        <v>1</v>
      </c>
      <c r="D10" s="165"/>
      <c r="E10" s="1"/>
      <c r="F10" s="146" t="s">
        <v>33</v>
      </c>
      <c r="G10" s="205">
        <f>18/100</f>
        <v>0.18</v>
      </c>
      <c r="H10" s="87"/>
      <c r="I10" s="87"/>
    </row>
    <row r="11" spans="1:9">
      <c r="A11" s="146" t="s">
        <v>170</v>
      </c>
      <c r="B11" s="149">
        <v>128189</v>
      </c>
      <c r="C11" s="93">
        <f>B11/(B12+B11)</f>
        <v>4.1850103050847014E-2</v>
      </c>
      <c r="D11" s="77">
        <f>B11/National!B11</f>
        <v>3.3989801124040007E-2</v>
      </c>
      <c r="E11" s="1"/>
      <c r="G11" s="49"/>
      <c r="H11" s="87"/>
      <c r="I11" s="86"/>
    </row>
    <row r="12" spans="1:9" ht="23.25">
      <c r="A12" s="146" t="s">
        <v>171</v>
      </c>
      <c r="B12" s="150">
        <v>2934862</v>
      </c>
      <c r="C12" s="95">
        <f>B12/(B11+B12)</f>
        <v>0.95814989694915298</v>
      </c>
      <c r="D12" s="79">
        <f>B12/National!B12</f>
        <v>2.2199345945504618E-2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3135611</v>
      </c>
      <c r="H13" s="189">
        <f>G13/G$18</f>
        <v>0.51811598513404278</v>
      </c>
      <c r="I13" s="92">
        <f>+G13/National!G13</f>
        <v>2.2874340467401905E-2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2678546</v>
      </c>
      <c r="H14" s="86">
        <f>G14/G$18</f>
        <v>0.44259236860594309</v>
      </c>
      <c r="I14" s="106">
        <f>+G14/National!G14</f>
        <v>2.4297055883275701E-2</v>
      </c>
    </row>
    <row r="15" spans="1:9">
      <c r="A15" s="146" t="s">
        <v>3</v>
      </c>
      <c r="B15" s="149">
        <v>71299</v>
      </c>
      <c r="C15" s="174">
        <f>B15/B$17</f>
        <v>0.74570403606204172</v>
      </c>
      <c r="D15" s="77">
        <f>B15/National!B15</f>
        <v>2.3948115495353396E-2</v>
      </c>
      <c r="E15" s="3"/>
      <c r="F15" s="146" t="s">
        <v>13</v>
      </c>
      <c r="G15" s="150">
        <v>33389</v>
      </c>
      <c r="H15" s="86">
        <f>G15/G$18</f>
        <v>5.5170665709619445E-3</v>
      </c>
      <c r="I15" s="106">
        <f>+G15/National!G15</f>
        <v>3.9592888956348098E-2</v>
      </c>
    </row>
    <row r="16" spans="1:9">
      <c r="A16" s="146" t="s">
        <v>2</v>
      </c>
      <c r="B16" s="150">
        <v>24314</v>
      </c>
      <c r="C16" s="175">
        <f>B16/B$17</f>
        <v>0.25429596393795822</v>
      </c>
      <c r="D16" s="78">
        <f>B16/National!B16</f>
        <v>2.2818477016348516E-2</v>
      </c>
      <c r="E16" s="1"/>
      <c r="F16" s="9" t="s">
        <v>1</v>
      </c>
      <c r="G16" s="162">
        <v>5847546</v>
      </c>
      <c r="H16" s="105"/>
      <c r="I16" s="106"/>
    </row>
    <row r="17" spans="1:9">
      <c r="A17" s="9" t="s">
        <v>1</v>
      </c>
      <c r="B17" s="154">
        <f>SUM(B15:B16)</f>
        <v>95613</v>
      </c>
      <c r="C17" s="176">
        <f>SUM(C15:C16)</f>
        <v>1</v>
      </c>
      <c r="D17" s="177">
        <f>B17/National!B17</f>
        <v>2.365038013559027E-2</v>
      </c>
      <c r="E17" s="1"/>
      <c r="F17" s="108" t="s">
        <v>35</v>
      </c>
      <c r="G17" s="117">
        <v>204402</v>
      </c>
      <c r="H17" s="105">
        <f>G17/G$18</f>
        <v>3.3774579689052189E-2</v>
      </c>
      <c r="I17" s="106">
        <f>+G17/National!G17</f>
        <v>2.6523448367500323E-2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6051948</v>
      </c>
      <c r="H18" s="185">
        <f>SUM(H13:H17)</f>
        <v>1</v>
      </c>
      <c r="I18" s="186">
        <f>+G18/National!G18</f>
        <v>2.3652321764604054E-2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706+465</f>
        <v>1171</v>
      </c>
      <c r="C20" s="174">
        <f>B20/B$26</f>
        <v>1.2247288548628325E-2</v>
      </c>
      <c r="D20" s="77">
        <f>B20/National!B20</f>
        <v>2.5047592564864923E-2</v>
      </c>
      <c r="E20" s="51"/>
      <c r="F20" s="163" t="s">
        <v>3</v>
      </c>
      <c r="G20" s="108">
        <f>334+193</f>
        <v>527</v>
      </c>
      <c r="H20" s="189">
        <f>G20/G$23</f>
        <v>0.64742014742014742</v>
      </c>
      <c r="I20" s="92">
        <f>+G20/National!G20</f>
        <v>2.5328014610467631E-2</v>
      </c>
    </row>
    <row r="21" spans="1:9">
      <c r="A21" s="146" t="s">
        <v>7</v>
      </c>
      <c r="B21" s="157">
        <f>1591+1876</f>
        <v>3467</v>
      </c>
      <c r="C21" s="175">
        <f t="shared" ref="C21:C25" si="0">B21/B$26</f>
        <v>3.6260759520148934E-2</v>
      </c>
      <c r="D21" s="78">
        <f>B21/National!B21</f>
        <v>2.1735859466101588E-2</v>
      </c>
      <c r="E21" s="51"/>
      <c r="F21" s="163" t="s">
        <v>2</v>
      </c>
      <c r="G21" s="198">
        <f>83+204</f>
        <v>287</v>
      </c>
      <c r="H21" s="86">
        <f t="shared" ref="H21:H22" si="1">G21/G$23</f>
        <v>0.35257985257985258</v>
      </c>
      <c r="I21" s="106">
        <f>+G21/National!G21</f>
        <v>1.7986964151416394E-2</v>
      </c>
    </row>
    <row r="22" spans="1:9">
      <c r="A22" s="146" t="s">
        <v>6</v>
      </c>
      <c r="B22" s="157">
        <f>2057+2766</f>
        <v>4823</v>
      </c>
      <c r="C22" s="175">
        <f t="shared" si="0"/>
        <v>5.044293140054177E-2</v>
      </c>
      <c r="D22" s="78">
        <f>B22/National!B22</f>
        <v>1.9996268579365244E-2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10388+9529+2601</f>
        <v>22518</v>
      </c>
      <c r="C23" s="175">
        <f t="shared" si="0"/>
        <v>0.23551190737661196</v>
      </c>
      <c r="D23" s="78">
        <f>B23/National!B23</f>
        <v>2.833568436378096E-2</v>
      </c>
      <c r="E23" s="51"/>
      <c r="F23" s="9" t="s">
        <v>1</v>
      </c>
      <c r="G23" s="197">
        <f>SUM(G20:G22)</f>
        <v>814</v>
      </c>
      <c r="H23" s="132">
        <f>SUM(H20:H22)</f>
        <v>1</v>
      </c>
      <c r="I23" s="133">
        <f>+G23/National!G23</f>
        <v>2.1845897855666783E-2</v>
      </c>
    </row>
    <row r="24" spans="1:9">
      <c r="A24" s="146" t="s">
        <v>8</v>
      </c>
      <c r="B24" s="157">
        <f>47027+16444</f>
        <v>63471</v>
      </c>
      <c r="C24" s="175">
        <f t="shared" si="0"/>
        <v>0.66383232405635217</v>
      </c>
      <c r="D24" s="78">
        <f>B24/National!B24</f>
        <v>2.2755138916374838E-2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163</v>
      </c>
      <c r="C25" s="175">
        <f t="shared" si="0"/>
        <v>1.7047890977168376E-3</v>
      </c>
      <c r="D25" s="78">
        <f>B25/National!B25</f>
        <v>1.4380238200264668E-2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95613</v>
      </c>
      <c r="C26" s="176">
        <f>SUM(C20:C25)</f>
        <v>1</v>
      </c>
      <c r="D26" s="177">
        <f>B26/National!B26</f>
        <v>2.3650321635271587E-2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3068216</v>
      </c>
      <c r="H27" s="87"/>
      <c r="I27" s="113">
        <f>+G27/National!G27</f>
        <v>2.2220697815207378E-2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3280375</v>
      </c>
      <c r="H28" s="87"/>
      <c r="I28" s="114">
        <f>+G28/National!G28</f>
        <v>2.4668060383095401E-2</v>
      </c>
    </row>
    <row r="29" spans="1:9">
      <c r="A29" s="146" t="s">
        <v>91</v>
      </c>
      <c r="B29" s="149">
        <f>8943+2272</f>
        <v>11215</v>
      </c>
      <c r="C29" s="174">
        <f>B29/B$34</f>
        <v>0.11729576522021064</v>
      </c>
      <c r="D29" s="77">
        <f>B29/National!B29</f>
        <v>1.43831285837588E-2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59095+7001</f>
        <v>66096</v>
      </c>
      <c r="C30" s="175">
        <f t="shared" ref="C30:C33" si="2">B30/B$34</f>
        <v>0.69128674970976745</v>
      </c>
      <c r="D30" s="78">
        <f>B30/National!B30</f>
        <v>3.6965491939245414E-2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3261+15041</f>
        <v>18302</v>
      </c>
      <c r="C31" s="175">
        <f t="shared" si="2"/>
        <v>0.19141748507002185</v>
      </c>
      <c r="D31" s="78">
        <f>B31/National!B31</f>
        <v>1.42268586175803E-2</v>
      </c>
      <c r="E31" s="51"/>
      <c r="F31" s="163" t="s">
        <v>16</v>
      </c>
      <c r="G31" s="168">
        <v>1142926</v>
      </c>
      <c r="H31" s="92">
        <f>G31/G$38</f>
        <v>0.22493690337675179</v>
      </c>
      <c r="I31" s="112">
        <f>+G31/National!G31</f>
        <v>2.7056737556752398E-2</v>
      </c>
    </row>
    <row r="32" spans="1:9">
      <c r="A32" s="146" t="s">
        <v>94</v>
      </c>
      <c r="B32" s="157">
        <v>0</v>
      </c>
      <c r="C32" s="175">
        <f t="shared" si="2"/>
        <v>0</v>
      </c>
      <c r="D32" s="78">
        <f>B32/National!B32</f>
        <v>0</v>
      </c>
      <c r="E32" s="51"/>
      <c r="F32" s="163" t="s">
        <v>17</v>
      </c>
      <c r="G32" s="169">
        <v>1298931</v>
      </c>
      <c r="H32" s="106">
        <f t="shared" ref="H32:H37" si="3">G32/G$38</f>
        <v>0.2556399249295821</v>
      </c>
      <c r="I32" s="113">
        <f>+G32/National!G32</f>
        <v>2.0879029398575982E-2</v>
      </c>
    </row>
    <row r="33" spans="1:9">
      <c r="A33" s="146" t="s">
        <v>95</v>
      </c>
      <c r="B33" s="150">
        <v>0</v>
      </c>
      <c r="C33" s="175">
        <f t="shared" si="2"/>
        <v>0</v>
      </c>
      <c r="D33" s="78">
        <f>B33/National!B33</f>
        <v>0</v>
      </c>
      <c r="E33" s="51"/>
      <c r="F33" s="163" t="s">
        <v>18</v>
      </c>
      <c r="G33" s="169">
        <v>867788</v>
      </c>
      <c r="H33" s="106">
        <f t="shared" si="3"/>
        <v>0.1707875623684339</v>
      </c>
      <c r="I33" s="113">
        <f>+G33/National!G33</f>
        <v>2.7316997744254654E-2</v>
      </c>
    </row>
    <row r="34" spans="1:9">
      <c r="A34" s="9" t="s">
        <v>1</v>
      </c>
      <c r="B34" s="154">
        <f>SUM(B29:B33)</f>
        <v>95613</v>
      </c>
      <c r="C34" s="176">
        <f>SUM(C29:C33)</f>
        <v>1</v>
      </c>
      <c r="D34" s="180">
        <f>B34/National!B34</f>
        <v>2.365038013559027E-2</v>
      </c>
      <c r="E34" s="51"/>
      <c r="F34" s="163" t="s">
        <v>19</v>
      </c>
      <c r="G34" s="169">
        <v>0</v>
      </c>
      <c r="H34" s="106">
        <f t="shared" si="3"/>
        <v>0</v>
      </c>
      <c r="I34" s="113">
        <f>+G34/National!G34</f>
        <v>0</v>
      </c>
    </row>
    <row r="35" spans="1:9">
      <c r="B35" s="49"/>
      <c r="C35" s="96"/>
      <c r="D35" s="96"/>
      <c r="E35" s="51"/>
      <c r="F35" s="163" t="s">
        <v>20</v>
      </c>
      <c r="G35" s="169">
        <v>113141</v>
      </c>
      <c r="H35" s="106">
        <f t="shared" si="3"/>
        <v>2.226704632228952E-2</v>
      </c>
      <c r="I35" s="113">
        <f>+G35/National!G35</f>
        <v>8.4863873594299821E-3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864743</v>
      </c>
      <c r="H36" s="106">
        <f t="shared" si="3"/>
        <v>0.17018828221312882</v>
      </c>
      <c r="I36" s="113">
        <f>+G36/National!G36</f>
        <v>5.4659405150420927E-2</v>
      </c>
    </row>
    <row r="37" spans="1:9">
      <c r="A37" s="146" t="s">
        <v>5</v>
      </c>
      <c r="B37" s="149">
        <f>2831+2180</f>
        <v>5011</v>
      </c>
      <c r="C37" s="174">
        <f>B37/B$43</f>
        <v>2.5308464269660651E-2</v>
      </c>
      <c r="D37" s="77">
        <f>B37/National!B37</f>
        <v>2.3461055864561681E-2</v>
      </c>
      <c r="E37" s="51"/>
      <c r="F37" s="163" t="s">
        <v>22</v>
      </c>
      <c r="G37" s="170">
        <v>793567</v>
      </c>
      <c r="H37" s="106">
        <f t="shared" si="3"/>
        <v>0.15618028078981386</v>
      </c>
      <c r="I37" s="114">
        <f>+G37/National!G37</f>
        <v>3.0930847932195017E-2</v>
      </c>
    </row>
    <row r="38" spans="1:9">
      <c r="A38" s="146" t="s">
        <v>7</v>
      </c>
      <c r="B38" s="157">
        <f>4367+5625</f>
        <v>9992</v>
      </c>
      <c r="C38" s="175">
        <f t="shared" ref="C38:C42" si="4">B38/B$43</f>
        <v>5.0465411092087256E-2</v>
      </c>
      <c r="D38" s="78">
        <f>B38/National!B38</f>
        <v>2.0924865659514406E-2</v>
      </c>
      <c r="E38" s="51"/>
      <c r="F38" s="47" t="s">
        <v>1</v>
      </c>
      <c r="G38" s="187">
        <f>SUM(G31:G37)</f>
        <v>5081096</v>
      </c>
      <c r="H38" s="188">
        <f>SUM(H31:H37)</f>
        <v>0.99999999999999978</v>
      </c>
      <c r="I38" s="188">
        <f>+G38/National!G39</f>
        <v>2.5243941870237294E-2</v>
      </c>
    </row>
    <row r="39" spans="1:9">
      <c r="A39" s="146" t="s">
        <v>6</v>
      </c>
      <c r="B39" s="157">
        <f>4311+5713</f>
        <v>10024</v>
      </c>
      <c r="C39" s="175">
        <f t="shared" si="4"/>
        <v>5.0627029702470239E-2</v>
      </c>
      <c r="D39" s="78">
        <f>B39/National!B39</f>
        <v>1.8136913431701603E-2</v>
      </c>
      <c r="E39" s="51"/>
      <c r="H39" s="87"/>
      <c r="I39" s="87"/>
    </row>
    <row r="40" spans="1:9" ht="23.25">
      <c r="A40" s="146" t="s">
        <v>30</v>
      </c>
      <c r="B40" s="157">
        <f>21091+19059+5234</f>
        <v>45384</v>
      </c>
      <c r="C40" s="175">
        <f t="shared" si="4"/>
        <v>0.22921559417566933</v>
      </c>
      <c r="D40" s="78">
        <f>B40/National!B40</f>
        <v>2.8209951056505679E-2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94053+32888</f>
        <v>126941</v>
      </c>
      <c r="C41" s="175">
        <f t="shared" si="4"/>
        <v>0.64112587564458046</v>
      </c>
      <c r="D41" s="78">
        <f>B41/National!B41</f>
        <v>2.2754975976068566E-2</v>
      </c>
      <c r="E41" s="51"/>
      <c r="F41" s="163" t="s">
        <v>38</v>
      </c>
      <c r="G41" s="168">
        <v>1594882</v>
      </c>
      <c r="H41" s="189">
        <f>G41/G$47</f>
        <v>0.35388142342304763</v>
      </c>
      <c r="I41" s="113">
        <f>+G41/National!G42</f>
        <v>1.7586487038781479E-2</v>
      </c>
    </row>
    <row r="42" spans="1:9">
      <c r="A42" s="156" t="s">
        <v>29</v>
      </c>
      <c r="B42" s="150">
        <v>645</v>
      </c>
      <c r="C42" s="175">
        <f t="shared" si="4"/>
        <v>3.2576251155320536E-3</v>
      </c>
      <c r="D42" s="78">
        <f>B42/National!B42</f>
        <v>1.2220538082607047E-2</v>
      </c>
      <c r="E42" s="51"/>
      <c r="F42" s="163" t="s">
        <v>39</v>
      </c>
      <c r="G42" s="169">
        <v>1545728</v>
      </c>
      <c r="H42" s="86">
        <f t="shared" ref="H42:H46" si="5">G42/G$47</f>
        <v>0.34297485636232683</v>
      </c>
      <c r="I42" s="113">
        <f>+G42/National!G43</f>
        <v>3.4707650097089621E-2</v>
      </c>
    </row>
    <row r="43" spans="1:9">
      <c r="A43" s="9" t="s">
        <v>1</v>
      </c>
      <c r="B43" s="154">
        <f>SUM(B37:B42)</f>
        <v>197997</v>
      </c>
      <c r="C43" s="178">
        <f>SUM(C37:C42)</f>
        <v>1</v>
      </c>
      <c r="D43" s="179">
        <f>B43/National!B43</f>
        <v>2.3337779758506896E-2</v>
      </c>
      <c r="E43" s="51"/>
      <c r="F43" s="163" t="s">
        <v>40</v>
      </c>
      <c r="G43" s="169">
        <v>416034</v>
      </c>
      <c r="H43" s="86">
        <f t="shared" si="5"/>
        <v>9.2311972993854213E-2</v>
      </c>
      <c r="I43" s="113">
        <f>+G43/National!G44</f>
        <v>3.175595709479638E-2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63935</v>
      </c>
      <c r="H44" s="86">
        <f t="shared" si="5"/>
        <v>1.4186258799430021E-2</v>
      </c>
      <c r="I44" s="113">
        <f>+G44/National!G45</f>
        <v>4.3426698300765287E-3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840307</v>
      </c>
      <c r="H45" s="86">
        <f t="shared" si="5"/>
        <v>0.18645206182799159</v>
      </c>
      <c r="I45" s="113">
        <f>+G45/National!G46</f>
        <v>0.10101233883749626</v>
      </c>
    </row>
    <row r="46" spans="1:9">
      <c r="A46" s="8" t="s">
        <v>3</v>
      </c>
      <c r="B46" s="52">
        <v>31587</v>
      </c>
      <c r="C46" s="93">
        <f>B46/B$48</f>
        <v>0.44505657080861738</v>
      </c>
      <c r="D46" s="77">
        <f>B46/National!B48</f>
        <v>3.1892594843793226E-2</v>
      </c>
      <c r="E46" s="51"/>
      <c r="F46" s="163" t="s">
        <v>43</v>
      </c>
      <c r="G46" s="170">
        <v>45940</v>
      </c>
      <c r="H46" s="86">
        <f t="shared" si="5"/>
        <v>1.0193426593349732E-2</v>
      </c>
      <c r="I46" s="113">
        <f>+G46/National!G47</f>
        <v>5.7669931407428772E-3</v>
      </c>
    </row>
    <row r="47" spans="1:9">
      <c r="A47" s="8" t="s">
        <v>2</v>
      </c>
      <c r="B47" s="52">
        <v>39386</v>
      </c>
      <c r="C47" s="97">
        <f>B47/B$48</f>
        <v>0.55494342919138262</v>
      </c>
      <c r="D47" s="78">
        <f>B47/National!B49</f>
        <v>1.9860914098243601E-2</v>
      </c>
      <c r="E47" s="51"/>
      <c r="F47" s="9" t="s">
        <v>1</v>
      </c>
      <c r="G47" s="191">
        <f>SUM(G41:G46)</f>
        <v>4506826</v>
      </c>
      <c r="H47" s="182">
        <f>SUM(H41:H46)</f>
        <v>1</v>
      </c>
      <c r="I47" s="188">
        <f>+G47/National!G49</f>
        <v>2.4842030117706491E-2</v>
      </c>
    </row>
    <row r="48" spans="1:9">
      <c r="A48" s="9" t="s">
        <v>1</v>
      </c>
      <c r="B48" s="155">
        <f>SUM(B46:B47)</f>
        <v>70973</v>
      </c>
      <c r="C48" s="165">
        <f>SUM(C46:C47)</f>
        <v>1</v>
      </c>
      <c r="D48" s="177">
        <f>B48/National!B50</f>
        <v>2.3868432885187165E-2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829270</v>
      </c>
      <c r="H50" s="189">
        <f>G50/G$52</f>
        <v>0.86744812696393681</v>
      </c>
      <c r="I50" s="113">
        <f>+G50/National!G52</f>
        <v>2.6458997025751826E-2</v>
      </c>
    </row>
    <row r="51" spans="1:9">
      <c r="A51" s="146" t="s">
        <v>5</v>
      </c>
      <c r="B51" s="149">
        <f>7140+9527</f>
        <v>16667</v>
      </c>
      <c r="C51" s="174">
        <f>B51/B$57</f>
        <v>0.23483578262156032</v>
      </c>
      <c r="D51" s="77">
        <f>B51/National!B53</f>
        <v>2.3168529610873793E-2</v>
      </c>
      <c r="E51" s="51"/>
      <c r="F51" s="163" t="s">
        <v>97</v>
      </c>
      <c r="G51" s="194">
        <v>126718</v>
      </c>
      <c r="H51" s="86">
        <f>G51/G$52</f>
        <v>0.13255187303606322</v>
      </c>
      <c r="I51" s="113">
        <f>+G51/National!G53</f>
        <v>2.5128345566210724E-2</v>
      </c>
    </row>
    <row r="52" spans="1:9">
      <c r="A52" s="146" t="s">
        <v>7</v>
      </c>
      <c r="B52" s="157">
        <f>4859+10805</f>
        <v>15664</v>
      </c>
      <c r="C52" s="175">
        <f t="shared" ref="C52:C56" si="6">B52/B$57</f>
        <v>0.22070364786608992</v>
      </c>
      <c r="D52" s="78">
        <f>B52/National!B54</f>
        <v>2.2871594046727322E-2</v>
      </c>
      <c r="E52" s="51"/>
      <c r="F52" s="60" t="s">
        <v>1</v>
      </c>
      <c r="G52" s="190">
        <f>SUM(G50:G51)</f>
        <v>955988</v>
      </c>
      <c r="H52" s="185">
        <f>SUM(H50:H51)</f>
        <v>1</v>
      </c>
      <c r="I52" s="192">
        <f>+G52/National!G54</f>
        <v>2.6274571120646236E-2</v>
      </c>
    </row>
    <row r="53" spans="1:9">
      <c r="A53" s="146" t="s">
        <v>6</v>
      </c>
      <c r="B53" s="157">
        <f>3412+7890</f>
        <v>11302</v>
      </c>
      <c r="C53" s="175">
        <f t="shared" si="6"/>
        <v>0.15924365603821172</v>
      </c>
      <c r="D53" s="78">
        <f>B53/National!B55</f>
        <v>2.1364516226597706E-2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2337+10814+2663</f>
        <v>15814</v>
      </c>
      <c r="C54" s="175">
        <f t="shared" si="6"/>
        <v>0.22281712764008849</v>
      </c>
      <c r="D54" s="78">
        <f>B54/National!B56</f>
        <v>3.7964503405378026E-2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3025+7178</f>
        <v>10203</v>
      </c>
      <c r="C55" s="175">
        <f t="shared" si="6"/>
        <v>0.14375889422738225</v>
      </c>
      <c r="D55" s="78">
        <f>B55/National!B57</f>
        <v>2.5438688348018608E-2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1323</v>
      </c>
      <c r="C56" s="175">
        <f t="shared" si="6"/>
        <v>1.8640891606667324E-2</v>
      </c>
      <c r="D56" s="78">
        <f>B56/National!B58</f>
        <v>5.9427554980595087E-3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70973</v>
      </c>
      <c r="C57" s="178">
        <f>SUM(C51:C56)</f>
        <v>1</v>
      </c>
      <c r="D57" s="177">
        <f>B57/National!B59</f>
        <v>2.3868432885187165E-2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55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209</v>
      </c>
      <c r="B4" s="50">
        <v>3002555</v>
      </c>
      <c r="C4" s="99"/>
      <c r="D4" s="77">
        <f>B4/National!B4</f>
        <v>9.8748856326660358E-3</v>
      </c>
      <c r="E4" s="1"/>
      <c r="F4" s="146" t="s">
        <v>10</v>
      </c>
      <c r="G4" s="195">
        <v>993724</v>
      </c>
      <c r="H4" s="189">
        <f>G4/G$6</f>
        <v>0.4994433730737316</v>
      </c>
      <c r="I4" s="112">
        <f>+G4/National!G4</f>
        <v>9.5902492460732906E-3</v>
      </c>
    </row>
    <row r="5" spans="1:9">
      <c r="A5" s="8" t="s">
        <v>167</v>
      </c>
      <c r="B5" s="50">
        <f>54718+1151</f>
        <v>55869</v>
      </c>
      <c r="C5" s="100"/>
      <c r="D5" s="79">
        <f>B5/National!B5</f>
        <v>1.5793620303490574E-2</v>
      </c>
      <c r="E5" s="1"/>
      <c r="F5" s="146" t="s">
        <v>11</v>
      </c>
      <c r="G5" s="196">
        <v>995939</v>
      </c>
      <c r="H5" s="86">
        <f>G5/G$6</f>
        <v>0.50055662692626846</v>
      </c>
      <c r="I5" s="113">
        <f>+G5/National!G5</f>
        <v>9.5120897804491459E-3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1989663</v>
      </c>
      <c r="H6" s="182">
        <f>SUM(H4:H5)</f>
        <v>1</v>
      </c>
      <c r="I6" s="183">
        <f>+G6/National!G6</f>
        <v>9.5509661092039577E-3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1624008</v>
      </c>
      <c r="C8" s="174">
        <f>B8/B10</f>
        <v>0.71363667722908197</v>
      </c>
      <c r="D8" s="77">
        <f>B8/National!B8</f>
        <v>1.1888251542333823E-2</v>
      </c>
      <c r="E8" s="1"/>
      <c r="F8" s="146" t="s">
        <v>32</v>
      </c>
      <c r="G8" s="206">
        <f>21/100</f>
        <v>0.21</v>
      </c>
      <c r="H8" s="87"/>
      <c r="I8" s="87"/>
    </row>
    <row r="9" spans="1:9">
      <c r="A9" s="146" t="s">
        <v>169</v>
      </c>
      <c r="B9" s="150">
        <v>651671</v>
      </c>
      <c r="C9" s="175">
        <f>B9/B10</f>
        <v>0.28636332277091803</v>
      </c>
      <c r="D9" s="78">
        <f>B9/National!B9</f>
        <v>1.6899998773353513E-2</v>
      </c>
      <c r="E9" s="1"/>
      <c r="F9" s="146" t="s">
        <v>31</v>
      </c>
      <c r="G9" s="207">
        <f>22.5/100</f>
        <v>0.22500000000000001</v>
      </c>
      <c r="H9" s="87"/>
      <c r="I9" s="87"/>
    </row>
    <row r="10" spans="1:9">
      <c r="A10" s="9" t="s">
        <v>9</v>
      </c>
      <c r="B10" s="152">
        <f>SUM(B8:B9)</f>
        <v>2275679</v>
      </c>
      <c r="C10" s="176">
        <f>SUM(C8:C9)</f>
        <v>1</v>
      </c>
      <c r="D10" s="165"/>
      <c r="E10" s="1"/>
      <c r="F10" s="146" t="s">
        <v>33</v>
      </c>
      <c r="G10" s="205">
        <f>19/100</f>
        <v>0.19</v>
      </c>
      <c r="H10" s="87"/>
      <c r="I10" s="87"/>
    </row>
    <row r="11" spans="1:9">
      <c r="A11" s="146" t="s">
        <v>170</v>
      </c>
      <c r="B11" s="149">
        <v>123594</v>
      </c>
      <c r="C11" s="93">
        <f>B11/(B12+B11)</f>
        <v>7.6104258042904938E-2</v>
      </c>
      <c r="D11" s="77">
        <f>B11/National!B11</f>
        <v>3.2771419389531091E-2</v>
      </c>
      <c r="E11" s="1"/>
      <c r="G11" s="49"/>
      <c r="H11" s="87"/>
      <c r="I11" s="86"/>
    </row>
    <row r="12" spans="1:9" ht="23.25">
      <c r="A12" s="146" t="s">
        <v>171</v>
      </c>
      <c r="B12" s="150">
        <v>1500415</v>
      </c>
      <c r="C12" s="95">
        <f>B12/(B11+B12)</f>
        <v>0.92389574195709512</v>
      </c>
      <c r="D12" s="79">
        <f>B12/National!B12</f>
        <v>1.1349164508186181E-2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1798052</v>
      </c>
      <c r="H13" s="189">
        <f>G13/G$18</f>
        <v>0.49771660426473774</v>
      </c>
      <c r="I13" s="92">
        <f>+G13/National!G13</f>
        <v>1.3116822726445638E-2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1625339</v>
      </c>
      <c r="H14" s="86">
        <f>G14/G$18</f>
        <v>0.44990812716153067</v>
      </c>
      <c r="I14" s="106">
        <f>+G14/National!G14</f>
        <v>1.4743428902198224E-2</v>
      </c>
    </row>
    <row r="15" spans="1:9">
      <c r="A15" s="146" t="s">
        <v>3</v>
      </c>
      <c r="B15" s="149">
        <v>102919</v>
      </c>
      <c r="C15" s="174">
        <f>B15/B$17</f>
        <v>0.90101202878504016</v>
      </c>
      <c r="D15" s="77">
        <f>B15/National!B15</f>
        <v>3.4568733063104339E-2</v>
      </c>
      <c r="E15" s="3"/>
      <c r="F15" s="146" t="s">
        <v>13</v>
      </c>
      <c r="G15" s="150">
        <v>7476</v>
      </c>
      <c r="H15" s="86">
        <f>G15/G$18</f>
        <v>2.0694225381041142E-3</v>
      </c>
      <c r="I15" s="106">
        <f>+G15/National!G15</f>
        <v>8.8650884374392273E-3</v>
      </c>
    </row>
    <row r="16" spans="1:9">
      <c r="A16" s="146" t="s">
        <v>2</v>
      </c>
      <c r="B16" s="150">
        <v>11307</v>
      </c>
      <c r="C16" s="175">
        <f>B16/B$17</f>
        <v>9.8987971214959822E-2</v>
      </c>
      <c r="D16" s="78">
        <f>B16/National!B16</f>
        <v>1.0611520918970663E-2</v>
      </c>
      <c r="E16" s="1"/>
      <c r="F16" s="9" t="s">
        <v>1</v>
      </c>
      <c r="G16" s="162">
        <v>3430867</v>
      </c>
      <c r="H16" s="105"/>
      <c r="I16" s="106"/>
    </row>
    <row r="17" spans="1:9">
      <c r="A17" s="9" t="s">
        <v>1</v>
      </c>
      <c r="B17" s="154">
        <f>SUM(B15:B16)</f>
        <v>114226</v>
      </c>
      <c r="C17" s="176">
        <f>SUM(C15:C16)</f>
        <v>1</v>
      </c>
      <c r="D17" s="177">
        <f>B17/National!B17</f>
        <v>2.8254403913358372E-2</v>
      </c>
      <c r="E17" s="1"/>
      <c r="F17" s="108" t="s">
        <v>35</v>
      </c>
      <c r="G17" s="117">
        <v>181735</v>
      </c>
      <c r="H17" s="105">
        <f>G17/G$18</f>
        <v>5.0305846035627509E-2</v>
      </c>
      <c r="I17" s="106">
        <f>+G17/National!G17</f>
        <v>2.3582151295328181E-2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3612602</v>
      </c>
      <c r="H18" s="185">
        <f>SUM(H13:H17)</f>
        <v>1.0000000000000002</v>
      </c>
      <c r="I18" s="186">
        <f>+G18/National!G18</f>
        <v>1.4118829988534622E-2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628+153</f>
        <v>781</v>
      </c>
      <c r="C20" s="174">
        <f>B20/B$26</f>
        <v>6.8375020792659971E-3</v>
      </c>
      <c r="D20" s="77">
        <f>B20/National!B20</f>
        <v>1.6705525015507691E-2</v>
      </c>
      <c r="E20" s="51"/>
      <c r="F20" s="163" t="s">
        <v>3</v>
      </c>
      <c r="G20" s="108">
        <f>293+50</f>
        <v>343</v>
      </c>
      <c r="H20" s="189">
        <f>G20/G$23</f>
        <v>0.83252427184466016</v>
      </c>
      <c r="I20" s="92">
        <f>+G20/National!G20</f>
        <v>1.6484836833757871E-2</v>
      </c>
    </row>
    <row r="21" spans="1:9">
      <c r="A21" s="146" t="s">
        <v>7</v>
      </c>
      <c r="B21" s="157">
        <f>3478+802</f>
        <v>4280</v>
      </c>
      <c r="C21" s="175">
        <f t="shared" ref="C21:C25" si="0">B21/B$26</f>
        <v>3.747056197088152E-2</v>
      </c>
      <c r="D21" s="78">
        <f>B21/National!B21</f>
        <v>2.6832846413301067E-2</v>
      </c>
      <c r="E21" s="51"/>
      <c r="F21" s="163" t="s">
        <v>2</v>
      </c>
      <c r="G21" s="198">
        <f>34+35</f>
        <v>69</v>
      </c>
      <c r="H21" s="86">
        <f t="shared" ref="H21:H22" si="1">G21/G$23</f>
        <v>0.16747572815533981</v>
      </c>
      <c r="I21" s="106">
        <f>+G21/National!G21</f>
        <v>4.3243920782150913E-3</v>
      </c>
    </row>
    <row r="22" spans="1:9">
      <c r="A22" s="146" t="s">
        <v>6</v>
      </c>
      <c r="B22" s="157">
        <f>3911+1557</f>
        <v>5468</v>
      </c>
      <c r="C22" s="175">
        <f t="shared" si="0"/>
        <v>4.7871269359060782E-2</v>
      </c>
      <c r="D22" s="78">
        <f>B22/National!B22</f>
        <v>2.2670453367607122E-2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14344+1057+16157</f>
        <v>31558</v>
      </c>
      <c r="C23" s="175">
        <f t="shared" si="0"/>
        <v>0.27628411090585958</v>
      </c>
      <c r="D23" s="78">
        <f>B23/National!B23</f>
        <v>3.9711232220987637E-2</v>
      </c>
      <c r="E23" s="51"/>
      <c r="F23" s="9" t="s">
        <v>1</v>
      </c>
      <c r="G23" s="197">
        <f>SUM(G20:G22)</f>
        <v>412</v>
      </c>
      <c r="H23" s="132">
        <f>SUM(H20:H22)</f>
        <v>1</v>
      </c>
      <c r="I23" s="133">
        <f>+G23/National!G23</f>
        <v>1.1057137489600386E-2</v>
      </c>
    </row>
    <row r="24" spans="1:9">
      <c r="A24" s="146" t="s">
        <v>8</v>
      </c>
      <c r="B24" s="157">
        <f>64398+7738</f>
        <v>72136</v>
      </c>
      <c r="C24" s="175">
        <f t="shared" si="0"/>
        <v>0.63153655568493205</v>
      </c>
      <c r="D24" s="78">
        <f>B24/National!B24</f>
        <v>2.5861648640664481E-2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0</v>
      </c>
      <c r="C25" s="175">
        <f t="shared" si="0"/>
        <v>0</v>
      </c>
      <c r="D25" s="78">
        <f>B25/National!B25</f>
        <v>0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114223</v>
      </c>
      <c r="C26" s="176">
        <f>SUM(C20:C25)</f>
        <v>1</v>
      </c>
      <c r="D26" s="177">
        <f>B26/National!B26</f>
        <v>2.8253591960775485E-2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1613010</v>
      </c>
      <c r="H27" s="87"/>
      <c r="I27" s="113">
        <f>+G27/National!G27</f>
        <v>1.1681774615251226E-2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1505427</v>
      </c>
      <c r="H28" s="87"/>
      <c r="I28" s="114">
        <f>+G28/National!G28</f>
        <v>1.1320646004905585E-2</v>
      </c>
    </row>
    <row r="29" spans="1:9">
      <c r="A29" s="146" t="s">
        <v>91</v>
      </c>
      <c r="B29" s="149">
        <f>7941+954</f>
        <v>8895</v>
      </c>
      <c r="C29" s="174">
        <f>B29/B$34</f>
        <v>7.7871938087650791E-2</v>
      </c>
      <c r="D29" s="77">
        <f>B29/National!B29</f>
        <v>1.1407751114804684E-2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88498+1066</f>
        <v>89564</v>
      </c>
      <c r="C30" s="175">
        <f t="shared" ref="C30:C33" si="2">B30/B$34</f>
        <v>0.78409468947525085</v>
      </c>
      <c r="D30" s="78">
        <f>B30/National!B30</f>
        <v>5.0090433915011133E-2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6002+9093</f>
        <v>15095</v>
      </c>
      <c r="C31" s="175">
        <f t="shared" si="2"/>
        <v>0.13215029853098245</v>
      </c>
      <c r="D31" s="78">
        <f>B31/National!B31</f>
        <v>1.1733932402599422E-2</v>
      </c>
      <c r="E31" s="51"/>
      <c r="F31" s="163" t="s">
        <v>16</v>
      </c>
      <c r="G31" s="168">
        <v>323729</v>
      </c>
      <c r="H31" s="92">
        <f>G31/G$38</f>
        <v>0.16495341769984734</v>
      </c>
      <c r="I31" s="112">
        <f>+G31/National!G31</f>
        <v>7.6637075300674739E-3</v>
      </c>
    </row>
    <row r="32" spans="1:9">
      <c r="A32" s="146" t="s">
        <v>94</v>
      </c>
      <c r="B32" s="157">
        <f>375+174</f>
        <v>549</v>
      </c>
      <c r="C32" s="175">
        <f t="shared" si="2"/>
        <v>4.8062612715143666E-3</v>
      </c>
      <c r="D32" s="78">
        <f>B32/National!B32</f>
        <v>9.6287072276689412E-3</v>
      </c>
      <c r="E32" s="51"/>
      <c r="F32" s="163" t="s">
        <v>17</v>
      </c>
      <c r="G32" s="169">
        <v>832007</v>
      </c>
      <c r="H32" s="106">
        <f t="shared" ref="H32:H37" si="3">G32/G$38</f>
        <v>0.42394224243177747</v>
      </c>
      <c r="I32" s="113">
        <f>+G32/National!G32</f>
        <v>1.3373688527582301E-2</v>
      </c>
    </row>
    <row r="33" spans="1:9">
      <c r="A33" s="146" t="s">
        <v>95</v>
      </c>
      <c r="B33" s="150">
        <f>103+20</f>
        <v>123</v>
      </c>
      <c r="C33" s="175">
        <f t="shared" si="2"/>
        <v>1.0768126346015793E-3</v>
      </c>
      <c r="D33" s="78">
        <f>B33/National!B33</f>
        <v>9.3513365568834964E-4</v>
      </c>
      <c r="E33" s="51"/>
      <c r="F33" s="163" t="s">
        <v>18</v>
      </c>
      <c r="G33" s="169">
        <v>163304</v>
      </c>
      <c r="H33" s="106">
        <f t="shared" si="3"/>
        <v>8.3210194094615775E-2</v>
      </c>
      <c r="I33" s="113">
        <f>+G33/National!G33</f>
        <v>5.1406276643924118E-3</v>
      </c>
    </row>
    <row r="34" spans="1:9">
      <c r="A34" s="9" t="s">
        <v>1</v>
      </c>
      <c r="B34" s="154">
        <f>SUM(B29:B33)</f>
        <v>114226</v>
      </c>
      <c r="C34" s="176">
        <f>SUM(C29:C33)</f>
        <v>1.0000000000000002</v>
      </c>
      <c r="D34" s="180">
        <f>B34/National!B34</f>
        <v>2.8254403913358372E-2</v>
      </c>
      <c r="E34" s="51"/>
      <c r="F34" s="163" t="s">
        <v>19</v>
      </c>
      <c r="G34" s="169">
        <v>47763</v>
      </c>
      <c r="H34" s="106">
        <f t="shared" si="3"/>
        <v>2.4337239140138228E-2</v>
      </c>
      <c r="I34" s="113">
        <f>+G34/National!G34</f>
        <v>5.5616260726068E-3</v>
      </c>
    </row>
    <row r="35" spans="1:9">
      <c r="B35" s="49"/>
      <c r="C35" s="96"/>
      <c r="D35" s="96"/>
      <c r="E35" s="51"/>
      <c r="F35" s="163" t="s">
        <v>20</v>
      </c>
      <c r="G35" s="169">
        <v>360355</v>
      </c>
      <c r="H35" s="106">
        <f t="shared" si="3"/>
        <v>0.18361589117820304</v>
      </c>
      <c r="I35" s="113">
        <f>+G35/National!G35</f>
        <v>2.7029212371354246E-2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51763</v>
      </c>
      <c r="H36" s="106">
        <f t="shared" si="3"/>
        <v>2.637540584994609E-2</v>
      </c>
      <c r="I36" s="113">
        <f>+G36/National!G36</f>
        <v>3.2718793778050109E-3</v>
      </c>
    </row>
    <row r="37" spans="1:9">
      <c r="A37" s="146" t="s">
        <v>5</v>
      </c>
      <c r="B37" s="149">
        <f>2515+711</f>
        <v>3226</v>
      </c>
      <c r="C37" s="174">
        <f>B37/B$43</f>
        <v>1.3700840907160452E-2</v>
      </c>
      <c r="D37" s="77">
        <f>B37/National!B37</f>
        <v>1.5103844785287562E-2</v>
      </c>
      <c r="E37" s="51"/>
      <c r="F37" s="163" t="s">
        <v>22</v>
      </c>
      <c r="G37" s="170">
        <v>183627</v>
      </c>
      <c r="H37" s="106">
        <f t="shared" si="3"/>
        <v>9.3565609605472069E-2</v>
      </c>
      <c r="I37" s="114">
        <f>+G37/National!G37</f>
        <v>7.1572265646696175E-3</v>
      </c>
    </row>
    <row r="38" spans="1:9">
      <c r="A38" s="146" t="s">
        <v>7</v>
      </c>
      <c r="B38" s="157">
        <f>9074+2877</f>
        <v>11951</v>
      </c>
      <c r="C38" s="175">
        <f t="shared" ref="C38:C42" si="4">B38/B$43</f>
        <v>5.0755967043234519E-2</v>
      </c>
      <c r="D38" s="78">
        <f>B38/National!B38</f>
        <v>2.5027328812735856E-2</v>
      </c>
      <c r="E38" s="51"/>
      <c r="F38" s="47" t="s">
        <v>1</v>
      </c>
      <c r="G38" s="187">
        <f>SUM(G31:G37)</f>
        <v>1962548</v>
      </c>
      <c r="H38" s="188">
        <f>SUM(H31:H37)</f>
        <v>1</v>
      </c>
      <c r="I38" s="188">
        <f>+G38/National!G39</f>
        <v>9.7503467026701443E-3</v>
      </c>
    </row>
    <row r="39" spans="1:9">
      <c r="A39" s="146" t="s">
        <v>6</v>
      </c>
      <c r="B39" s="157">
        <f>8061+4227</f>
        <v>12288</v>
      </c>
      <c r="C39" s="175">
        <f t="shared" si="4"/>
        <v>5.2187208018347066E-2</v>
      </c>
      <c r="D39" s="78">
        <f>B39/National!B39</f>
        <v>2.2233279354424311E-2</v>
      </c>
      <c r="E39" s="51"/>
      <c r="H39" s="87"/>
      <c r="I39" s="87"/>
    </row>
    <row r="40" spans="1:9" ht="23.25">
      <c r="A40" s="146" t="s">
        <v>30</v>
      </c>
      <c r="B40" s="157">
        <f>28948+32315+2461</f>
        <v>63724</v>
      </c>
      <c r="C40" s="175">
        <f t="shared" si="4"/>
        <v>0.27063620147795803</v>
      </c>
      <c r="D40" s="78">
        <f>B40/National!B40</f>
        <v>3.9609794666066629E-2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128795+15476</f>
        <v>144271</v>
      </c>
      <c r="C41" s="175">
        <f t="shared" si="4"/>
        <v>0.61271978255329995</v>
      </c>
      <c r="D41" s="78">
        <f>B41/National!B41</f>
        <v>2.5861487927804159E-2</v>
      </c>
      <c r="E41" s="51"/>
      <c r="F41" s="163" t="s">
        <v>38</v>
      </c>
      <c r="G41" s="168">
        <v>974051</v>
      </c>
      <c r="H41" s="189">
        <f>G41/G$47</f>
        <v>0.49129410886487246</v>
      </c>
      <c r="I41" s="113">
        <f>+G41/National!G42</f>
        <v>1.0740691340558198E-2</v>
      </c>
    </row>
    <row r="42" spans="1:9">
      <c r="A42" s="156" t="s">
        <v>29</v>
      </c>
      <c r="B42" s="150">
        <v>0</v>
      </c>
      <c r="C42" s="175">
        <f t="shared" si="4"/>
        <v>0</v>
      </c>
      <c r="D42" s="78">
        <f>B42/National!B42</f>
        <v>0</v>
      </c>
      <c r="E42" s="51"/>
      <c r="F42" s="163" t="s">
        <v>39</v>
      </c>
      <c r="G42" s="169">
        <v>632563</v>
      </c>
      <c r="H42" s="86">
        <f t="shared" ref="H42:H46" si="5">G42/G$47</f>
        <v>0.31905359717909054</v>
      </c>
      <c r="I42" s="113">
        <f>+G42/National!G43</f>
        <v>1.4203517868839343E-2</v>
      </c>
    </row>
    <row r="43" spans="1:9">
      <c r="A43" s="9" t="s">
        <v>1</v>
      </c>
      <c r="B43" s="154">
        <f>SUM(B37:B42)</f>
        <v>235460</v>
      </c>
      <c r="C43" s="178">
        <f>SUM(C37:C42)</f>
        <v>1</v>
      </c>
      <c r="D43" s="179">
        <f>B43/National!B43</f>
        <v>2.7753519608569997E-2</v>
      </c>
      <c r="E43" s="51"/>
      <c r="F43" s="163" t="s">
        <v>40</v>
      </c>
      <c r="G43" s="169">
        <v>99219</v>
      </c>
      <c r="H43" s="86">
        <f t="shared" si="5"/>
        <v>5.004430998732487E-2</v>
      </c>
      <c r="I43" s="113">
        <f>+G43/National!G44</f>
        <v>7.5734057961334943E-3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113928</v>
      </c>
      <c r="H44" s="86">
        <f t="shared" si="5"/>
        <v>5.7463269618076657E-2</v>
      </c>
      <c r="I44" s="113">
        <f>+G44/National!G45</f>
        <v>7.7383543974498909E-3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41594</v>
      </c>
      <c r="H45" s="86">
        <f t="shared" si="5"/>
        <v>2.0979278460907597E-2</v>
      </c>
      <c r="I45" s="113">
        <f>+G45/National!G46</f>
        <v>4.9999669425660146E-3</v>
      </c>
    </row>
    <row r="46" spans="1:9">
      <c r="A46" s="8" t="s">
        <v>3</v>
      </c>
      <c r="B46" s="52">
        <v>18534</v>
      </c>
      <c r="C46" s="93">
        <f>B46/B$48</f>
        <v>0.60345781916452312</v>
      </c>
      <c r="D46" s="77">
        <f>B46/National!B48</f>
        <v>1.8713310945479584E-2</v>
      </c>
      <c r="E46" s="51"/>
      <c r="F46" s="163" t="s">
        <v>43</v>
      </c>
      <c r="G46" s="170">
        <v>121268</v>
      </c>
      <c r="H46" s="86">
        <f t="shared" si="5"/>
        <v>6.11654358897279E-2</v>
      </c>
      <c r="I46" s="113">
        <f>+G46/National!G47</f>
        <v>1.5223154640653184E-2</v>
      </c>
    </row>
    <row r="47" spans="1:9">
      <c r="A47" s="8" t="s">
        <v>2</v>
      </c>
      <c r="B47" s="52">
        <v>12179</v>
      </c>
      <c r="C47" s="97">
        <f>B47/B$48</f>
        <v>0.39654218083547682</v>
      </c>
      <c r="D47" s="78">
        <f>B47/National!B49</f>
        <v>6.1414226578608852E-3</v>
      </c>
      <c r="E47" s="51"/>
      <c r="F47" s="9" t="s">
        <v>1</v>
      </c>
      <c r="G47" s="191">
        <f>SUM(G41:G46)</f>
        <v>1982623</v>
      </c>
      <c r="H47" s="182">
        <f>SUM(H41:H46)</f>
        <v>1.0000000000000002</v>
      </c>
      <c r="I47" s="188">
        <f>+G47/National!G49</f>
        <v>1.0928396232305751E-2</v>
      </c>
    </row>
    <row r="48" spans="1:9">
      <c r="A48" s="9" t="s">
        <v>1</v>
      </c>
      <c r="B48" s="155">
        <f>SUM(B46:B47)</f>
        <v>30713</v>
      </c>
      <c r="C48" s="165">
        <f>SUM(C46:C47)</f>
        <v>1</v>
      </c>
      <c r="D48" s="177">
        <f>B48/National!B50</f>
        <v>1.0328874067641968E-2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403321</v>
      </c>
      <c r="H50" s="189">
        <f>G50/G$52</f>
        <v>0.86666365832065528</v>
      </c>
      <c r="I50" s="113">
        <f>+G50/National!G52</f>
        <v>1.2868509821196054E-2</v>
      </c>
    </row>
    <row r="51" spans="1:9">
      <c r="A51" s="146" t="s">
        <v>5</v>
      </c>
      <c r="B51" s="149">
        <f>4628+2538</f>
        <v>7166</v>
      </c>
      <c r="C51" s="174">
        <f>B51/B$57</f>
        <v>0.23332139484908671</v>
      </c>
      <c r="D51" s="77">
        <f>B51/National!B53</f>
        <v>9.961341764656002E-3</v>
      </c>
      <c r="E51" s="51"/>
      <c r="F51" s="163" t="s">
        <v>97</v>
      </c>
      <c r="G51" s="194">
        <v>62051</v>
      </c>
      <c r="H51" s="86">
        <f>G51/G$52</f>
        <v>0.13333634167934469</v>
      </c>
      <c r="I51" s="113">
        <f>+G51/National!G53</f>
        <v>1.2304794667915701E-2</v>
      </c>
    </row>
    <row r="52" spans="1:9">
      <c r="A52" s="146" t="s">
        <v>7</v>
      </c>
      <c r="B52" s="157">
        <f>5472+3474</f>
        <v>8946</v>
      </c>
      <c r="C52" s="175">
        <f t="shared" ref="C52:C56" si="6">B52/B$57</f>
        <v>0.29127730928271417</v>
      </c>
      <c r="D52" s="78">
        <f>B52/National!B54</f>
        <v>1.3062390215910534E-2</v>
      </c>
      <c r="E52" s="51"/>
      <c r="F52" s="60" t="s">
        <v>1</v>
      </c>
      <c r="G52" s="190">
        <f>SUM(G50:G51)</f>
        <v>465372</v>
      </c>
      <c r="H52" s="185">
        <f>SUM(H50:H51)</f>
        <v>1</v>
      </c>
      <c r="I52" s="192">
        <f>+G52/National!G54</f>
        <v>1.2790379912255572E-2</v>
      </c>
    </row>
    <row r="53" spans="1:9">
      <c r="A53" s="146" t="s">
        <v>6</v>
      </c>
      <c r="B53" s="157">
        <f>2592+3273</f>
        <v>5865</v>
      </c>
      <c r="C53" s="175">
        <f t="shared" si="6"/>
        <v>0.19096148210855338</v>
      </c>
      <c r="D53" s="78">
        <f>B53/National!B55</f>
        <v>1.1086788857635423E-2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3426+871+1006</f>
        <v>5303</v>
      </c>
      <c r="C54" s="175">
        <f t="shared" si="6"/>
        <v>0.17266304170872268</v>
      </c>
      <c r="D54" s="78">
        <f>B54/National!B56</f>
        <v>1.2730856301929914E-2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1545+1888</f>
        <v>3433</v>
      </c>
      <c r="C55" s="175">
        <f t="shared" si="6"/>
        <v>0.11177677205092307</v>
      </c>
      <c r="D55" s="78">
        <f>B55/National!B57</f>
        <v>8.5593469664557373E-3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0</v>
      </c>
      <c r="C56" s="175">
        <f t="shared" si="6"/>
        <v>0</v>
      </c>
      <c r="D56" s="78">
        <f>B56/National!B58</f>
        <v>0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30713</v>
      </c>
      <c r="C57" s="178">
        <f>SUM(C51:C56)</f>
        <v>1</v>
      </c>
      <c r="D57" s="177">
        <f>B57/National!B59</f>
        <v>1.0328874067641968E-2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56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2"/>
      <c r="C3" s="89" t="s">
        <v>197</v>
      </c>
      <c r="D3" s="90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2802134</v>
      </c>
      <c r="C4" s="121"/>
      <c r="D4" s="77">
        <f>B4/National!B4</f>
        <v>9.2157355243800716E-3</v>
      </c>
      <c r="E4" s="51"/>
      <c r="F4" s="8" t="s">
        <v>10</v>
      </c>
      <c r="G4" s="50">
        <v>1004066</v>
      </c>
      <c r="H4" s="112">
        <f>G4/G$6</f>
        <v>0.49659405362764325</v>
      </c>
      <c r="I4" s="112">
        <f>+G4/National!G4</f>
        <v>9.6900580035380289E-3</v>
      </c>
    </row>
    <row r="5" spans="1:9">
      <c r="A5" s="8" t="s">
        <v>167</v>
      </c>
      <c r="B5" s="50">
        <f>80315+1500</f>
        <v>81815</v>
      </c>
      <c r="C5" s="122"/>
      <c r="D5" s="79">
        <f>B5/National!B5</f>
        <v>2.3128300938446748E-2</v>
      </c>
      <c r="E5" s="51"/>
      <c r="F5" s="8" t="s">
        <v>11</v>
      </c>
      <c r="G5" s="50">
        <v>1017839</v>
      </c>
      <c r="H5" s="114">
        <f>G5/G$6</f>
        <v>0.50340594637235681</v>
      </c>
      <c r="I5" s="113">
        <f>+G5/National!G5</f>
        <v>9.7212539623838176E-3</v>
      </c>
    </row>
    <row r="6" spans="1:9">
      <c r="A6" s="1"/>
      <c r="B6" s="51"/>
      <c r="C6" s="51"/>
      <c r="D6" s="51"/>
      <c r="E6" s="51"/>
      <c r="F6" s="9" t="s">
        <v>1</v>
      </c>
      <c r="G6" s="20">
        <f>SUM(G4:G5)</f>
        <v>2021905</v>
      </c>
      <c r="H6" s="107">
        <f>SUM(H4:H5)</f>
        <v>1</v>
      </c>
      <c r="I6" s="136">
        <f>+G6/National!G6</f>
        <v>9.7057371680681747E-3</v>
      </c>
    </row>
    <row r="7" spans="1:9" ht="23.25">
      <c r="A7" s="67" t="s">
        <v>36</v>
      </c>
      <c r="B7" s="51"/>
      <c r="C7" s="89" t="s">
        <v>197</v>
      </c>
      <c r="D7" s="90" t="s">
        <v>198</v>
      </c>
      <c r="E7" s="51"/>
      <c r="F7" s="67" t="s">
        <v>208</v>
      </c>
      <c r="G7" s="61"/>
      <c r="H7" s="87"/>
      <c r="I7" s="87"/>
    </row>
    <row r="8" spans="1:9">
      <c r="A8" s="8" t="s">
        <v>168</v>
      </c>
      <c r="B8" s="52">
        <v>1311221</v>
      </c>
      <c r="C8" s="93">
        <f>B8/B10</f>
        <v>0.73121359883828574</v>
      </c>
      <c r="D8" s="77">
        <f>B8/National!B8</f>
        <v>9.5985519009700055E-3</v>
      </c>
      <c r="E8" s="51"/>
      <c r="F8" s="8" t="s">
        <v>32</v>
      </c>
      <c r="G8" s="208">
        <f>24/100</f>
        <v>0.24</v>
      </c>
      <c r="H8" s="87"/>
      <c r="I8" s="87"/>
    </row>
    <row r="9" spans="1:9">
      <c r="A9" s="8" t="s">
        <v>169</v>
      </c>
      <c r="B9" s="52">
        <v>481991</v>
      </c>
      <c r="C9" s="97">
        <f>B9/B10</f>
        <v>0.26878640116171426</v>
      </c>
      <c r="D9" s="78">
        <f>B9/National!B9</f>
        <v>1.2499631422554378E-2</v>
      </c>
      <c r="E9" s="51"/>
      <c r="F9" s="8" t="s">
        <v>31</v>
      </c>
      <c r="G9" s="208">
        <f>26/100</f>
        <v>0.26</v>
      </c>
      <c r="H9" s="87"/>
      <c r="I9" s="87"/>
    </row>
    <row r="10" spans="1:9">
      <c r="A10" s="9" t="s">
        <v>9</v>
      </c>
      <c r="B10" s="18">
        <f>SUM(B8:B9)</f>
        <v>1793212</v>
      </c>
      <c r="C10" s="101">
        <f>SUM(C8:C9)</f>
        <v>1</v>
      </c>
      <c r="D10" s="120"/>
      <c r="E10" s="51"/>
      <c r="F10" s="8" t="s">
        <v>33</v>
      </c>
      <c r="G10" s="208">
        <f>24/100</f>
        <v>0.24</v>
      </c>
      <c r="H10" s="87"/>
      <c r="I10" s="87"/>
    </row>
    <row r="11" spans="1:9">
      <c r="A11" s="8" t="s">
        <v>170</v>
      </c>
      <c r="B11" s="52">
        <v>49835</v>
      </c>
      <c r="C11" s="97">
        <f>B11/(B12+B11)</f>
        <v>3.8434989838848375E-2</v>
      </c>
      <c r="D11" s="78">
        <f>B11/National!B11</f>
        <v>1.3213939877965613E-2</v>
      </c>
      <c r="E11" s="51"/>
      <c r="G11" s="49"/>
      <c r="H11" s="87"/>
      <c r="I11" s="86"/>
    </row>
    <row r="12" spans="1:9" ht="23.25">
      <c r="A12" s="8" t="s">
        <v>171</v>
      </c>
      <c r="B12" s="52">
        <v>1246770</v>
      </c>
      <c r="C12" s="95">
        <f>B12/(B11+B12)</f>
        <v>0.96156501016115159</v>
      </c>
      <c r="D12" s="79">
        <f>B12/National!B12</f>
        <v>9.4305894261729473E-3</v>
      </c>
      <c r="E12" s="5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51"/>
      <c r="D13" s="51"/>
      <c r="E13" s="51"/>
      <c r="F13" s="8" t="s">
        <v>34</v>
      </c>
      <c r="G13" s="50">
        <v>884039</v>
      </c>
      <c r="H13" s="112">
        <f>G13/G$18</f>
        <v>0.34900496520566104</v>
      </c>
      <c r="I13" s="92">
        <f>+G13/National!G13</f>
        <v>6.449080919942402E-3</v>
      </c>
    </row>
    <row r="14" spans="1:9" ht="23.25">
      <c r="A14" s="67" t="s">
        <v>162</v>
      </c>
      <c r="B14" s="51"/>
      <c r="C14" s="89" t="s">
        <v>197</v>
      </c>
      <c r="D14" s="90" t="s">
        <v>198</v>
      </c>
      <c r="E14" s="51"/>
      <c r="F14" s="8" t="s">
        <v>12</v>
      </c>
      <c r="G14" s="50">
        <v>1560788</v>
      </c>
      <c r="H14" s="113">
        <f>G14/G$18</f>
        <v>0.61617503484960878</v>
      </c>
      <c r="I14" s="106">
        <f>+G14/National!G14</f>
        <v>1.4157887621846372E-2</v>
      </c>
    </row>
    <row r="15" spans="1:9">
      <c r="A15" s="8" t="s">
        <v>3</v>
      </c>
      <c r="B15" s="52">
        <v>127859</v>
      </c>
      <c r="C15" s="93">
        <f>B15/B$17</f>
        <v>0.90932301630763324</v>
      </c>
      <c r="D15" s="77">
        <f>B15/National!B15</f>
        <v>4.2945652801868045E-2</v>
      </c>
      <c r="E15" s="55"/>
      <c r="F15" s="8" t="s">
        <v>13</v>
      </c>
      <c r="G15" s="50">
        <v>3941</v>
      </c>
      <c r="H15" s="113">
        <f>G15/G$18</f>
        <v>1.5558460292764348E-3</v>
      </c>
      <c r="I15" s="106">
        <f>+G15/National!G15</f>
        <v>4.6732629122455856E-3</v>
      </c>
    </row>
    <row r="16" spans="1:9">
      <c r="A16" s="8" t="s">
        <v>2</v>
      </c>
      <c r="B16" s="52">
        <v>12750</v>
      </c>
      <c r="C16" s="97">
        <f>B16/B$17</f>
        <v>9.0676983692366778E-2</v>
      </c>
      <c r="D16" s="78">
        <f>B16/National!B16</f>
        <v>1.1965763838053945E-2</v>
      </c>
      <c r="E16" s="51"/>
      <c r="F16" s="9" t="s">
        <v>1</v>
      </c>
      <c r="G16" s="20">
        <v>2448768</v>
      </c>
      <c r="H16" s="113"/>
      <c r="I16" s="106"/>
    </row>
    <row r="17" spans="1:9">
      <c r="A17" s="9" t="s">
        <v>1</v>
      </c>
      <c r="B17" s="18">
        <f>SUM(B15:B16)</f>
        <v>140609</v>
      </c>
      <c r="C17" s="140">
        <f>SUM(C15:C16)</f>
        <v>1</v>
      </c>
      <c r="D17" s="141">
        <f>B17/National!B17</f>
        <v>3.4780378196324895E-2</v>
      </c>
      <c r="E17" s="51"/>
      <c r="F17" s="108" t="s">
        <v>35</v>
      </c>
      <c r="G17" s="50">
        <v>84259</v>
      </c>
      <c r="H17" s="114">
        <f>G17/G$18</f>
        <v>3.3264153915453724E-2</v>
      </c>
      <c r="I17" s="106">
        <f>+G17/National!G17</f>
        <v>1.0933548771524788E-2</v>
      </c>
    </row>
    <row r="18" spans="1:9">
      <c r="A18" s="1"/>
      <c r="B18" s="51"/>
      <c r="C18" s="51"/>
      <c r="D18" s="51"/>
      <c r="E18" s="51"/>
      <c r="F18" s="109" t="s">
        <v>196</v>
      </c>
      <c r="G18" s="110">
        <f>SUM(G16:G17)</f>
        <v>2533027</v>
      </c>
      <c r="H18" s="135">
        <f>SUM(H13:H17)</f>
        <v>0.99999999999999989</v>
      </c>
      <c r="I18" s="138">
        <f>+G18/National!G18</f>
        <v>9.8996173864067758E-3</v>
      </c>
    </row>
    <row r="19" spans="1:9" ht="23.25">
      <c r="A19" s="5" t="s">
        <v>186</v>
      </c>
      <c r="B19" s="51"/>
      <c r="C19" s="89" t="s">
        <v>197</v>
      </c>
      <c r="D19" s="90" t="s">
        <v>198</v>
      </c>
      <c r="E19" s="51"/>
      <c r="F19" s="67" t="s">
        <v>190</v>
      </c>
      <c r="G19" s="51"/>
      <c r="H19" s="123" t="s">
        <v>197</v>
      </c>
      <c r="I19" s="119" t="s">
        <v>198</v>
      </c>
    </row>
    <row r="20" spans="1:9">
      <c r="A20" s="8" t="s">
        <v>5</v>
      </c>
      <c r="B20" s="52">
        <f>656+218</f>
        <v>874</v>
      </c>
      <c r="C20" s="77">
        <f>B20/B$26</f>
        <v>6.2157299215566354E-3</v>
      </c>
      <c r="D20" s="77">
        <f>B20/National!B20</f>
        <v>1.869478727727749E-2</v>
      </c>
      <c r="E20" s="51"/>
      <c r="F20" s="53" t="s">
        <v>3</v>
      </c>
      <c r="G20" s="54">
        <f>235+61</f>
        <v>296</v>
      </c>
      <c r="H20" s="91">
        <f>G20/G$23</f>
        <v>0.76883116883116887</v>
      </c>
      <c r="I20" s="92">
        <f>+G20/National!G20</f>
        <v>1.4225981640793963E-2</v>
      </c>
    </row>
    <row r="21" spans="1:9">
      <c r="A21" s="8" t="s">
        <v>7</v>
      </c>
      <c r="B21" s="52">
        <f>3066+810</f>
        <v>3876</v>
      </c>
      <c r="C21" s="78">
        <f t="shared" ref="C21:C25" si="0">B21/B$26</f>
        <v>2.7565410956468556E-2</v>
      </c>
      <c r="D21" s="78">
        <f>B21/National!B21</f>
        <v>2.4300026331297884E-2</v>
      </c>
      <c r="E21" s="51"/>
      <c r="F21" s="53" t="s">
        <v>2</v>
      </c>
      <c r="G21" s="54">
        <f>75+14</f>
        <v>89</v>
      </c>
      <c r="H21" s="105">
        <f t="shared" ref="H21:H22" si="1">G21/G$23</f>
        <v>0.23116883116883116</v>
      </c>
      <c r="I21" s="106">
        <f>+G21/National!G21</f>
        <v>5.5778390574078712E-3</v>
      </c>
    </row>
    <row r="22" spans="1:9">
      <c r="A22" s="8" t="s">
        <v>6</v>
      </c>
      <c r="B22" s="52">
        <f>4280+1367</f>
        <v>5647</v>
      </c>
      <c r="C22" s="78">
        <f t="shared" si="0"/>
        <v>4.016044263962279E-2</v>
      </c>
      <c r="D22" s="78">
        <f>B22/National!B22</f>
        <v>2.3412591471630839E-2</v>
      </c>
      <c r="E22" s="51"/>
      <c r="F22" s="53" t="s">
        <v>28</v>
      </c>
      <c r="G22" s="54">
        <v>0</v>
      </c>
      <c r="H22" s="105">
        <f t="shared" si="1"/>
        <v>0</v>
      </c>
      <c r="I22" s="106">
        <f>+G22/National!G22</f>
        <v>0</v>
      </c>
    </row>
    <row r="23" spans="1:9">
      <c r="A23" s="8" t="s">
        <v>30</v>
      </c>
      <c r="B23" s="52">
        <f>22850+9240+1451</f>
        <v>33541</v>
      </c>
      <c r="C23" s="78">
        <f t="shared" si="0"/>
        <v>0.23853752551365115</v>
      </c>
      <c r="D23" s="78">
        <f>B23/National!B23</f>
        <v>4.2206554278602773E-2</v>
      </c>
      <c r="E23" s="51"/>
      <c r="F23" s="9" t="s">
        <v>1</v>
      </c>
      <c r="G23" s="4">
        <f>SUM(G20:G22)</f>
        <v>385</v>
      </c>
      <c r="H23" s="143">
        <f>SUM(H20:H22)</f>
        <v>1</v>
      </c>
      <c r="I23" s="133">
        <f>+G23/National!G23</f>
        <v>1.0332519256058614E-2</v>
      </c>
    </row>
    <row r="24" spans="1:9">
      <c r="A24" s="8" t="s">
        <v>8</v>
      </c>
      <c r="B24" s="52">
        <f>87768+8718</f>
        <v>96486</v>
      </c>
      <c r="C24" s="78">
        <f t="shared" si="0"/>
        <v>0.68619098079097651</v>
      </c>
      <c r="D24" s="78">
        <f>B24/National!B24</f>
        <v>3.4591424957623837E-2</v>
      </c>
      <c r="E24" s="51"/>
      <c r="F24" s="51"/>
      <c r="G24" s="51"/>
      <c r="H24" s="87"/>
      <c r="I24" s="87"/>
    </row>
    <row r="25" spans="1:9" ht="15.75">
      <c r="A25" s="17" t="s">
        <v>29</v>
      </c>
      <c r="B25" s="144">
        <v>187</v>
      </c>
      <c r="C25" s="78">
        <f t="shared" si="0"/>
        <v>1.3299101777243601E-3</v>
      </c>
      <c r="D25" s="78">
        <f>B25/National!B25</f>
        <v>1.6497573886193207E-2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8">
        <f>SUM(B20:B25)</f>
        <v>140611</v>
      </c>
      <c r="C26" s="142">
        <f>SUM(C20:C25)</f>
        <v>1</v>
      </c>
      <c r="D26" s="141">
        <f>B26/National!B26</f>
        <v>3.4780786874767794E-2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1304037</v>
      </c>
      <c r="H27" s="87"/>
      <c r="I27" s="113">
        <f>+G27/National!G27</f>
        <v>9.444123919844491E-3</v>
      </c>
    </row>
    <row r="28" spans="1:9" ht="23.25">
      <c r="A28" s="5" t="s">
        <v>172</v>
      </c>
      <c r="B28" s="51"/>
      <c r="C28" s="89" t="s">
        <v>197</v>
      </c>
      <c r="D28" s="90" t="s">
        <v>198</v>
      </c>
      <c r="E28" s="51"/>
      <c r="F28" s="53" t="s">
        <v>15</v>
      </c>
      <c r="G28" s="56">
        <v>1336325</v>
      </c>
      <c r="H28" s="87"/>
      <c r="I28" s="114">
        <f>+G28/National!G28</f>
        <v>1.0049017503011078E-2</v>
      </c>
    </row>
    <row r="29" spans="1:9">
      <c r="A29" s="8" t="s">
        <v>91</v>
      </c>
      <c r="B29" s="52">
        <f>9619+750</f>
        <v>10369</v>
      </c>
      <c r="C29" s="93">
        <f>B29/B$34</f>
        <v>7.3743501482835386E-2</v>
      </c>
      <c r="D29" s="94">
        <f>B29/National!B29</f>
        <v>1.3298141799821221E-2</v>
      </c>
      <c r="E29" s="51"/>
      <c r="F29" s="51"/>
      <c r="G29" s="62"/>
      <c r="H29" s="87"/>
      <c r="I29" s="87"/>
    </row>
    <row r="30" spans="1:9" ht="23.25">
      <c r="A30" s="8" t="s">
        <v>92</v>
      </c>
      <c r="B30" s="52">
        <f>111878+1460</f>
        <v>113338</v>
      </c>
      <c r="C30" s="97">
        <f t="shared" ref="C30:C33" si="2">B30/B$34</f>
        <v>0.80605082178238951</v>
      </c>
      <c r="D30" s="98">
        <f>B30/National!B30</f>
        <v>6.3386512427532626E-2</v>
      </c>
      <c r="E30" s="51"/>
      <c r="F30" s="5" t="s">
        <v>184</v>
      </c>
      <c r="G30" s="62"/>
      <c r="H30" s="123" t="s">
        <v>197</v>
      </c>
      <c r="I30" s="124" t="s">
        <v>198</v>
      </c>
    </row>
    <row r="31" spans="1:9">
      <c r="A31" s="8" t="s">
        <v>93</v>
      </c>
      <c r="B31" s="52">
        <f>5245+10480</f>
        <v>15725</v>
      </c>
      <c r="C31" s="97">
        <f t="shared" si="2"/>
        <v>0.11183494655391903</v>
      </c>
      <c r="D31" s="98">
        <f>B31/National!B31</f>
        <v>1.2223655980846366E-2</v>
      </c>
      <c r="E31" s="51"/>
      <c r="F31" s="53" t="s">
        <v>16</v>
      </c>
      <c r="G31" s="57">
        <v>562689</v>
      </c>
      <c r="H31" s="112">
        <f>G31/G$38</f>
        <v>0.26650673739550523</v>
      </c>
      <c r="I31" s="113">
        <f>+G31/National!G31</f>
        <v>1.3320659954425265E-2</v>
      </c>
    </row>
    <row r="32" spans="1:9">
      <c r="A32" s="8" t="s">
        <v>94</v>
      </c>
      <c r="B32" s="52">
        <f>60+178</f>
        <v>238</v>
      </c>
      <c r="C32" s="97">
        <f t="shared" si="2"/>
        <v>1.6926370289241798E-3</v>
      </c>
      <c r="D32" s="98">
        <f>B32/National!B32</f>
        <v>4.1741936615395407E-3</v>
      </c>
      <c r="E32" s="51"/>
      <c r="F32" s="53" t="s">
        <v>17</v>
      </c>
      <c r="G32" s="57">
        <v>674475</v>
      </c>
      <c r="H32" s="113">
        <f t="shared" ref="H32:H37" si="3">G32/G$38</f>
        <v>0.3194520093778862</v>
      </c>
      <c r="I32" s="113">
        <f>+G32/National!G32</f>
        <v>1.0841517643049966E-2</v>
      </c>
    </row>
    <row r="33" spans="1:9">
      <c r="A33" s="8" t="s">
        <v>95</v>
      </c>
      <c r="B33" s="52">
        <f>939</f>
        <v>939</v>
      </c>
      <c r="C33" s="97">
        <f t="shared" si="2"/>
        <v>6.6780931519319535E-3</v>
      </c>
      <c r="D33" s="98">
        <f>B33/National!B33</f>
        <v>7.1389471763525225E-3</v>
      </c>
      <c r="E33" s="51"/>
      <c r="F33" s="53" t="s">
        <v>18</v>
      </c>
      <c r="G33" s="57">
        <v>325631</v>
      </c>
      <c r="H33" s="113">
        <f t="shared" si="3"/>
        <v>0.15422881095033983</v>
      </c>
      <c r="I33" s="113">
        <f>+G33/National!G33</f>
        <v>1.025050045916674E-2</v>
      </c>
    </row>
    <row r="34" spans="1:9">
      <c r="A34" s="9" t="s">
        <v>1</v>
      </c>
      <c r="B34" s="18">
        <f>SUM(B29:B33)</f>
        <v>140609</v>
      </c>
      <c r="C34" s="142">
        <f>SUM(C29:C33)</f>
        <v>1</v>
      </c>
      <c r="D34" s="141">
        <f>B34/National!B34</f>
        <v>3.4780378196324895E-2</v>
      </c>
      <c r="E34" s="51"/>
      <c r="F34" s="53" t="s">
        <v>19</v>
      </c>
      <c r="G34" s="57">
        <v>141551</v>
      </c>
      <c r="H34" s="113">
        <f t="shared" si="3"/>
        <v>6.7042887252231981E-2</v>
      </c>
      <c r="I34" s="113">
        <f>+G34/National!G34</f>
        <v>1.6482501773413837E-2</v>
      </c>
    </row>
    <row r="35" spans="1:9">
      <c r="B35" s="49"/>
      <c r="C35" s="96"/>
      <c r="D35" s="96"/>
      <c r="E35" s="51"/>
      <c r="F35" s="53" t="s">
        <v>20</v>
      </c>
      <c r="G35" s="57">
        <v>227888</v>
      </c>
      <c r="H35" s="113">
        <f t="shared" si="3"/>
        <v>0.10793473370118645</v>
      </c>
      <c r="I35" s="113">
        <f>+G35/National!G35</f>
        <v>1.7093236250040035E-2</v>
      </c>
    </row>
    <row r="36" spans="1:9" ht="23.25">
      <c r="A36" s="5" t="s">
        <v>173</v>
      </c>
      <c r="B36" s="51"/>
      <c r="C36" s="89" t="s">
        <v>197</v>
      </c>
      <c r="D36" s="90" t="s">
        <v>198</v>
      </c>
      <c r="E36" s="51"/>
      <c r="F36" s="53" t="s">
        <v>21</v>
      </c>
      <c r="G36" s="57">
        <v>71530</v>
      </c>
      <c r="H36" s="113">
        <f t="shared" si="3"/>
        <v>3.3878797925497903E-2</v>
      </c>
      <c r="I36" s="113">
        <f>+G36/National!G36</f>
        <v>4.5213285917429912E-3</v>
      </c>
    </row>
    <row r="37" spans="1:9">
      <c r="A37" s="8" t="s">
        <v>5</v>
      </c>
      <c r="B37" s="52">
        <f>2647+1051</f>
        <v>3698</v>
      </c>
      <c r="C37" s="93">
        <f>B37/B$43</f>
        <v>1.2901110095519848E-2</v>
      </c>
      <c r="D37" s="94">
        <f>B37/National!B37</f>
        <v>1.7313706762552204E-2</v>
      </c>
      <c r="E37" s="51"/>
      <c r="F37" s="53" t="s">
        <v>22</v>
      </c>
      <c r="G37" s="57">
        <v>107586</v>
      </c>
      <c r="H37" s="113">
        <f t="shared" si="3"/>
        <v>5.0956023397352404E-2</v>
      </c>
      <c r="I37" s="113">
        <f>+G37/National!G37</f>
        <v>4.1933777559212179E-3</v>
      </c>
    </row>
    <row r="38" spans="1:9">
      <c r="A38" s="8" t="s">
        <v>7</v>
      </c>
      <c r="B38" s="52">
        <f>7002+2803</f>
        <v>9805</v>
      </c>
      <c r="C38" s="97">
        <f t="shared" ref="C38:C42" si="4">B38/B$43</f>
        <v>3.4206431716217442E-2</v>
      </c>
      <c r="D38" s="98">
        <f>B38/National!B38</f>
        <v>2.0533257385061926E-2</v>
      </c>
      <c r="E38" s="51"/>
      <c r="F38" s="47" t="s">
        <v>1</v>
      </c>
      <c r="G38" s="21">
        <f>SUM(G31:G37)</f>
        <v>2111350</v>
      </c>
      <c r="H38" s="135">
        <f>SUM(H31:H37)</f>
        <v>0.99999999999999989</v>
      </c>
      <c r="I38" s="138">
        <f>+G38/National!G39</f>
        <v>1.0489625991661151E-2</v>
      </c>
    </row>
    <row r="39" spans="1:9">
      <c r="A39" s="8" t="s">
        <v>6</v>
      </c>
      <c r="B39" s="52">
        <f>8683+3519</f>
        <v>12202</v>
      </c>
      <c r="C39" s="97">
        <f t="shared" si="4"/>
        <v>4.2568779174021951E-2</v>
      </c>
      <c r="D39" s="98">
        <f>B39/National!B39</f>
        <v>2.2077675348525835E-2</v>
      </c>
      <c r="E39" s="51"/>
      <c r="G39" s="62"/>
      <c r="H39" s="87"/>
      <c r="I39" s="87"/>
    </row>
    <row r="40" spans="1:9" ht="23.25">
      <c r="A40" s="8" t="s">
        <v>30</v>
      </c>
      <c r="B40" s="52">
        <f>45710+18480+3042</f>
        <v>67232</v>
      </c>
      <c r="C40" s="97">
        <f t="shared" si="4"/>
        <v>0.23455041480313421</v>
      </c>
      <c r="D40" s="98">
        <f>B40/National!B40</f>
        <v>4.1790310008615147E-2</v>
      </c>
      <c r="E40" s="51"/>
      <c r="F40" s="5" t="s">
        <v>185</v>
      </c>
      <c r="G40" s="51"/>
      <c r="H40" s="123" t="s">
        <v>197</v>
      </c>
      <c r="I40" s="124" t="s">
        <v>198</v>
      </c>
    </row>
    <row r="41" spans="1:9">
      <c r="A41" s="8" t="s">
        <v>8</v>
      </c>
      <c r="B41" s="52">
        <f>175535+17435</f>
        <v>192970</v>
      </c>
      <c r="C41" s="97">
        <f t="shared" si="4"/>
        <v>0.67320909008449559</v>
      </c>
      <c r="D41" s="98">
        <f>B41/National!B41</f>
        <v>3.4591091247917941E-2</v>
      </c>
      <c r="E41" s="51"/>
      <c r="F41" s="53" t="s">
        <v>38</v>
      </c>
      <c r="G41" s="57">
        <v>992655</v>
      </c>
      <c r="H41" s="91">
        <f>G41/G$47</f>
        <v>0.51588602907739678</v>
      </c>
      <c r="I41" s="113">
        <f>+G41/National!G42</f>
        <v>1.0945834420027081E-2</v>
      </c>
    </row>
    <row r="42" spans="1:9">
      <c r="A42" s="17" t="s">
        <v>29</v>
      </c>
      <c r="B42" s="52">
        <v>735</v>
      </c>
      <c r="C42" s="97">
        <f t="shared" si="4"/>
        <v>2.5641741266108943E-3</v>
      </c>
      <c r="D42" s="98">
        <f>B42/National!B42</f>
        <v>1.3925729442970823E-2</v>
      </c>
      <c r="E42" s="51"/>
      <c r="F42" s="53" t="s">
        <v>39</v>
      </c>
      <c r="G42" s="57">
        <v>376301</v>
      </c>
      <c r="H42" s="105">
        <f t="shared" ref="H42:H46" si="5">G42/G$47</f>
        <v>0.19556485246924007</v>
      </c>
      <c r="I42" s="113">
        <f>+G42/National!G43</f>
        <v>8.4494318788201558E-3</v>
      </c>
    </row>
    <row r="43" spans="1:9">
      <c r="A43" s="9" t="s">
        <v>1</v>
      </c>
      <c r="B43" s="18">
        <f>SUM(B37:B42)</f>
        <v>286642</v>
      </c>
      <c r="C43" s="140">
        <f>SUM(C37:C42)</f>
        <v>1</v>
      </c>
      <c r="D43" s="141">
        <f>B43/National!B43</f>
        <v>3.3786309214472614E-2</v>
      </c>
      <c r="E43" s="51"/>
      <c r="F43" s="53" t="s">
        <v>40</v>
      </c>
      <c r="G43" s="57">
        <v>105556</v>
      </c>
      <c r="H43" s="105">
        <f t="shared" si="5"/>
        <v>5.485779619837073E-2</v>
      </c>
      <c r="I43" s="113">
        <f>+G43/National!G44</f>
        <v>8.0571102532445097E-3</v>
      </c>
    </row>
    <row r="44" spans="1:9">
      <c r="B44" s="49"/>
      <c r="C44" s="96"/>
      <c r="D44" s="96"/>
      <c r="E44" s="51"/>
      <c r="F44" s="53" t="s">
        <v>41</v>
      </c>
      <c r="G44" s="57">
        <v>203444</v>
      </c>
      <c r="H44" s="105">
        <f t="shared" si="5"/>
        <v>0.10573050788000052</v>
      </c>
      <c r="I44" s="113">
        <f>+G44/National!G45</f>
        <v>1.3818567621961202E-2</v>
      </c>
    </row>
    <row r="45" spans="1:9" ht="23.25">
      <c r="A45" s="66" t="s">
        <v>187</v>
      </c>
      <c r="B45" s="58"/>
      <c r="C45" s="89" t="s">
        <v>197</v>
      </c>
      <c r="D45" s="90" t="s">
        <v>198</v>
      </c>
      <c r="E45" s="51"/>
      <c r="F45" s="53" t="s">
        <v>42</v>
      </c>
      <c r="G45" s="57">
        <v>110567</v>
      </c>
      <c r="H45" s="105">
        <f t="shared" si="5"/>
        <v>5.7462029181337457E-2</v>
      </c>
      <c r="I45" s="113">
        <f>+G45/National!G46</f>
        <v>1.3291132012758968E-2</v>
      </c>
    </row>
    <row r="46" spans="1:9">
      <c r="A46" s="8" t="s">
        <v>3</v>
      </c>
      <c r="B46" s="52">
        <v>14484</v>
      </c>
      <c r="C46" s="93">
        <f>B46/B$48</f>
        <v>0.4872338278332829</v>
      </c>
      <c r="D46" s="94">
        <f>B46/National!B48</f>
        <v>1.4624128398312631E-2</v>
      </c>
      <c r="E46" s="51"/>
      <c r="F46" s="53" t="s">
        <v>43</v>
      </c>
      <c r="G46" s="57">
        <v>135652</v>
      </c>
      <c r="H46" s="105">
        <f t="shared" si="5"/>
        <v>7.049878519365442E-2</v>
      </c>
      <c r="I46" s="113">
        <f>+G46/National!G47</f>
        <v>1.702882354218661E-2</v>
      </c>
    </row>
    <row r="47" spans="1:9">
      <c r="A47" s="8" t="s">
        <v>2</v>
      </c>
      <c r="B47" s="52">
        <v>15243</v>
      </c>
      <c r="C47" s="97">
        <f>B47/B$48</f>
        <v>0.51276617216671716</v>
      </c>
      <c r="D47" s="98">
        <f>B47/National!B49</f>
        <v>7.6864853907359773E-3</v>
      </c>
      <c r="E47" s="51"/>
      <c r="F47" s="9" t="s">
        <v>1</v>
      </c>
      <c r="G47" s="21">
        <f>SUM(G41:G46)</f>
        <v>1924175</v>
      </c>
      <c r="H47" s="135">
        <f>SUM(H41:H46)</f>
        <v>0.99999999999999989</v>
      </c>
      <c r="I47" s="136">
        <f>+G47/National!G49</f>
        <v>1.0606225601285225E-2</v>
      </c>
    </row>
    <row r="48" spans="1:9">
      <c r="A48" s="9" t="s">
        <v>1</v>
      </c>
      <c r="B48" s="18">
        <f>SUM(B46:B47)</f>
        <v>29727</v>
      </c>
      <c r="C48" s="140">
        <f>SUM(C46:C47)</f>
        <v>1</v>
      </c>
      <c r="D48" s="141">
        <f>B48/National!B50</f>
        <v>9.9972793087224551E-3</v>
      </c>
      <c r="E48" s="49"/>
      <c r="G48" s="49"/>
      <c r="H48" s="88"/>
      <c r="I48" s="88"/>
    </row>
    <row r="49" spans="1:9" ht="23.25">
      <c r="B49" s="49"/>
      <c r="C49" s="96"/>
      <c r="D49" s="96"/>
      <c r="E49" s="49"/>
      <c r="F49" s="5" t="s">
        <v>192</v>
      </c>
      <c r="G49" s="51"/>
      <c r="H49" s="123" t="s">
        <v>197</v>
      </c>
      <c r="I49" s="124" t="s">
        <v>198</v>
      </c>
    </row>
    <row r="50" spans="1:9" ht="23.25">
      <c r="A50" s="5" t="s">
        <v>160</v>
      </c>
      <c r="B50" s="51"/>
      <c r="C50" s="96"/>
      <c r="D50" s="90" t="s">
        <v>198</v>
      </c>
      <c r="E50" s="49"/>
      <c r="F50" s="53" t="s">
        <v>96</v>
      </c>
      <c r="G50" s="59">
        <v>319141</v>
      </c>
      <c r="H50" s="91">
        <f>G50/G$52</f>
        <v>0.86473546450189942</v>
      </c>
      <c r="I50" s="113">
        <f>+G50/National!G52</f>
        <v>1.0182631434629811E-2</v>
      </c>
    </row>
    <row r="51" spans="1:9">
      <c r="A51" s="8" t="s">
        <v>5</v>
      </c>
      <c r="B51" s="52">
        <f>3242+3690</f>
        <v>6932</v>
      </c>
      <c r="C51" s="93">
        <f>B51/B$57</f>
        <v>0.23318868368822956</v>
      </c>
      <c r="D51" s="94">
        <f>B51/National!B53</f>
        <v>9.6360621145123379E-3</v>
      </c>
      <c r="E51" s="49"/>
      <c r="F51" s="53" t="s">
        <v>97</v>
      </c>
      <c r="G51" s="63">
        <v>49921</v>
      </c>
      <c r="H51" s="105">
        <f>G51/G$52</f>
        <v>0.13526453549810058</v>
      </c>
      <c r="I51" s="113">
        <f>+G51/National!G53</f>
        <v>9.8993997617608052E-3</v>
      </c>
    </row>
    <row r="52" spans="1:9">
      <c r="A52" s="8" t="s">
        <v>7</v>
      </c>
      <c r="B52" s="52">
        <f>4442+3555</f>
        <v>7997</v>
      </c>
      <c r="C52" s="97">
        <f t="shared" ref="C52:C56" si="6">B52/B$57</f>
        <v>0.26901470044067682</v>
      </c>
      <c r="D52" s="98">
        <f>B52/National!B54</f>
        <v>1.1676719713462614E-2</v>
      </c>
      <c r="E52" s="49"/>
      <c r="F52" s="60" t="s">
        <v>1</v>
      </c>
      <c r="G52" s="48">
        <f>SUM(G50:G51)</f>
        <v>369062</v>
      </c>
      <c r="H52" s="137">
        <f>SUM(H50:H51)</f>
        <v>1</v>
      </c>
      <c r="I52" s="136">
        <f>+G52/National!G54</f>
        <v>1.0143376032887381E-2</v>
      </c>
    </row>
    <row r="53" spans="1:9">
      <c r="A53" s="8" t="s">
        <v>6</v>
      </c>
      <c r="B53" s="52">
        <f>2143+3124</f>
        <v>5267</v>
      </c>
      <c r="C53" s="97">
        <f t="shared" si="6"/>
        <v>0.17717899552595284</v>
      </c>
      <c r="D53" s="98">
        <f>B53/National!B55</f>
        <v>9.9563711701902424E-3</v>
      </c>
      <c r="E53" s="49"/>
      <c r="F53" s="49"/>
      <c r="G53" s="49"/>
    </row>
    <row r="54" spans="1:9">
      <c r="A54" s="8" t="s">
        <v>30</v>
      </c>
      <c r="B54" s="52">
        <f>261+2672+1169</f>
        <v>4102</v>
      </c>
      <c r="C54" s="97">
        <f t="shared" si="6"/>
        <v>0.13798903353853401</v>
      </c>
      <c r="D54" s="98">
        <f>B54/National!B56</f>
        <v>9.8476282388301924E-3</v>
      </c>
      <c r="E54" s="49"/>
      <c r="F54" s="130" t="s">
        <v>202</v>
      </c>
      <c r="G54" s="49"/>
    </row>
    <row r="55" spans="1:9">
      <c r="A55" s="8" t="s">
        <v>8</v>
      </c>
      <c r="B55" s="52">
        <f>1724+1915</f>
        <v>3639</v>
      </c>
      <c r="C55" s="97">
        <f t="shared" si="6"/>
        <v>0.1224139671006156</v>
      </c>
      <c r="D55" s="98">
        <f>B55/National!B57</f>
        <v>9.0729576495579452E-3</v>
      </c>
      <c r="E55" s="49"/>
      <c r="F55" s="131" t="s">
        <v>203</v>
      </c>
      <c r="G55" s="49"/>
    </row>
    <row r="56" spans="1:9">
      <c r="A56" s="17" t="s">
        <v>29</v>
      </c>
      <c r="B56" s="54">
        <v>1790</v>
      </c>
      <c r="C56" s="97">
        <f t="shared" si="6"/>
        <v>6.0214619705991186E-2</v>
      </c>
      <c r="D56" s="98">
        <f>B56/National!B58</f>
        <v>8.0404628431795314E-3</v>
      </c>
      <c r="E56" s="49"/>
      <c r="F56" s="49"/>
      <c r="G56" s="49"/>
    </row>
    <row r="57" spans="1:9">
      <c r="A57" s="9" t="s">
        <v>1</v>
      </c>
      <c r="B57" s="46">
        <f>SUM(B51:B56)</f>
        <v>29727</v>
      </c>
      <c r="C57" s="140">
        <f>SUM(C51:C56)</f>
        <v>1</v>
      </c>
      <c r="D57" s="141">
        <f>B57/National!B59</f>
        <v>9.9972793087224551E-3</v>
      </c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57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2"/>
      <c r="C3" s="89" t="s">
        <v>197</v>
      </c>
      <c r="D3" s="90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4269245</v>
      </c>
      <c r="C4" s="121"/>
      <c r="D4" s="77">
        <f>B4/National!B4</f>
        <v>1.404081061390426E-2</v>
      </c>
      <c r="E4" s="51"/>
      <c r="F4" s="8" t="s">
        <v>10</v>
      </c>
      <c r="G4" s="50">
        <v>1449560</v>
      </c>
      <c r="H4" s="91">
        <f>G4/G$6</f>
        <v>0.49428181046620151</v>
      </c>
      <c r="I4" s="112">
        <f>+G4/National!G4</f>
        <v>1.398943941893121E-2</v>
      </c>
    </row>
    <row r="5" spans="1:9">
      <c r="A5" s="8" t="s">
        <v>167</v>
      </c>
      <c r="B5" s="50">
        <f>38248+1480</f>
        <v>39728</v>
      </c>
      <c r="C5" s="122"/>
      <c r="D5" s="79">
        <f>B5/National!B5</f>
        <v>1.1230717346239838E-2</v>
      </c>
      <c r="E5" s="51"/>
      <c r="F5" s="8" t="s">
        <v>11</v>
      </c>
      <c r="G5" s="50">
        <v>1483099</v>
      </c>
      <c r="H5" s="105">
        <f>G5/G$6</f>
        <v>0.50571818953379855</v>
      </c>
      <c r="I5" s="113">
        <f>+G5/National!G5</f>
        <v>1.4164894477768565E-2</v>
      </c>
    </row>
    <row r="6" spans="1:9">
      <c r="A6" s="1"/>
      <c r="B6" s="51"/>
      <c r="C6" s="51"/>
      <c r="D6" s="51"/>
      <c r="E6" s="51"/>
      <c r="F6" s="9" t="s">
        <v>1</v>
      </c>
      <c r="G6" s="20">
        <f>SUM(G4:G5)</f>
        <v>2932659</v>
      </c>
      <c r="H6" s="107">
        <f>SUM(H4:H5)</f>
        <v>1</v>
      </c>
      <c r="I6" s="136">
        <f>+G6/National!G6</f>
        <v>1.4077623556779197E-2</v>
      </c>
    </row>
    <row r="7" spans="1:9" ht="23.25">
      <c r="A7" s="67" t="s">
        <v>36</v>
      </c>
      <c r="B7" s="51"/>
      <c r="C7" s="89" t="s">
        <v>197</v>
      </c>
      <c r="D7" s="90" t="s">
        <v>198</v>
      </c>
      <c r="E7" s="51"/>
      <c r="F7" s="67" t="s">
        <v>208</v>
      </c>
      <c r="G7" s="61"/>
      <c r="H7" s="87"/>
      <c r="I7" s="87"/>
    </row>
    <row r="8" spans="1:9">
      <c r="A8" s="8" t="s">
        <v>168</v>
      </c>
      <c r="B8" s="52">
        <v>2144275</v>
      </c>
      <c r="C8" s="93">
        <f>B8/B10</f>
        <v>0.72284016830846753</v>
      </c>
      <c r="D8" s="77">
        <f>B8/National!B8</f>
        <v>1.5696770321290202E-2</v>
      </c>
      <c r="E8" s="51"/>
      <c r="F8" s="8" t="s">
        <v>32</v>
      </c>
      <c r="G8" s="208">
        <f>22.5/100</f>
        <v>0.22500000000000001</v>
      </c>
      <c r="H8" s="87"/>
      <c r="I8" s="87"/>
    </row>
    <row r="9" spans="1:9">
      <c r="A9" s="8" t="s">
        <v>169</v>
      </c>
      <c r="B9" s="52">
        <v>822183</v>
      </c>
      <c r="C9" s="97">
        <f>B9/B10</f>
        <v>0.27715983169153247</v>
      </c>
      <c r="D9" s="78">
        <f>B9/National!B9</f>
        <v>2.1321942654302727E-2</v>
      </c>
      <c r="E9" s="51"/>
      <c r="F9" s="8" t="s">
        <v>31</v>
      </c>
      <c r="G9" s="208">
        <f>19.5/100</f>
        <v>0.19500000000000001</v>
      </c>
      <c r="H9" s="87"/>
      <c r="I9" s="87"/>
    </row>
    <row r="10" spans="1:9">
      <c r="A10" s="9" t="s">
        <v>9</v>
      </c>
      <c r="B10" s="18">
        <f>SUM(B8:B9)</f>
        <v>2966458</v>
      </c>
      <c r="C10" s="101">
        <f>SUM(C8:C9)</f>
        <v>1</v>
      </c>
      <c r="D10" s="120"/>
      <c r="E10" s="51"/>
      <c r="F10" s="8" t="s">
        <v>33</v>
      </c>
      <c r="G10" s="208">
        <f>23/100</f>
        <v>0.23</v>
      </c>
      <c r="H10" s="87"/>
      <c r="I10" s="87"/>
    </row>
    <row r="11" spans="1:9">
      <c r="A11" s="8" t="s">
        <v>170</v>
      </c>
      <c r="B11" s="52">
        <v>53468</v>
      </c>
      <c r="C11" s="97">
        <f>B11/(B12+B11)</f>
        <v>2.4935234519826047E-2</v>
      </c>
      <c r="D11" s="78">
        <f>B11/National!B11</f>
        <v>1.4177243651952751E-2</v>
      </c>
      <c r="E11" s="51"/>
      <c r="G11" s="49"/>
      <c r="H11" s="87"/>
      <c r="I11" s="86"/>
    </row>
    <row r="12" spans="1:9" ht="23.25">
      <c r="A12" s="8" t="s">
        <v>171</v>
      </c>
      <c r="B12" s="52">
        <v>2090807</v>
      </c>
      <c r="C12" s="95">
        <f>B12/(B11+B12)</f>
        <v>0.97506476548017396</v>
      </c>
      <c r="D12" s="79">
        <f>B12/National!B12</f>
        <v>1.5814899609686135E-2</v>
      </c>
      <c r="E12" s="5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51"/>
      <c r="D13" s="51"/>
      <c r="E13" s="51"/>
      <c r="F13" s="8" t="s">
        <v>34</v>
      </c>
      <c r="G13" s="50">
        <v>1972534</v>
      </c>
      <c r="H13" s="91">
        <f>G13/G$18</f>
        <v>0.53761539453203466</v>
      </c>
      <c r="I13" s="92">
        <f>+G13/National!G13</f>
        <v>1.4389672156248385E-2</v>
      </c>
    </row>
    <row r="14" spans="1:9" ht="23.25">
      <c r="A14" s="67" t="s">
        <v>162</v>
      </c>
      <c r="B14" s="51"/>
      <c r="C14" s="89" t="s">
        <v>197</v>
      </c>
      <c r="D14" s="90" t="s">
        <v>198</v>
      </c>
      <c r="E14" s="51"/>
      <c r="F14" s="8" t="s">
        <v>12</v>
      </c>
      <c r="G14" s="50">
        <v>1617109</v>
      </c>
      <c r="H14" s="105">
        <f>G14/G$18</f>
        <v>0.44074408503797857</v>
      </c>
      <c r="I14" s="106">
        <f>+G14/National!G14</f>
        <v>1.4668774679377574E-2</v>
      </c>
    </row>
    <row r="15" spans="1:9">
      <c r="A15" s="8" t="s">
        <v>3</v>
      </c>
      <c r="B15" s="52">
        <v>66213</v>
      </c>
      <c r="C15" s="93">
        <f>B15/B$17</f>
        <v>0.84081067696097733</v>
      </c>
      <c r="D15" s="77">
        <f>B15/National!B15</f>
        <v>2.2239815022564613E-2</v>
      </c>
      <c r="E15" s="55"/>
      <c r="F15" s="8" t="s">
        <v>13</v>
      </c>
      <c r="G15" s="50">
        <v>14405</v>
      </c>
      <c r="H15" s="105">
        <f>G15/G$18</f>
        <v>3.9260918991682568E-3</v>
      </c>
      <c r="I15" s="106">
        <f>+G15/National!G15</f>
        <v>1.7081540789367584E-2</v>
      </c>
    </row>
    <row r="16" spans="1:9">
      <c r="A16" s="8" t="s">
        <v>2</v>
      </c>
      <c r="B16" s="52">
        <v>12536</v>
      </c>
      <c r="C16" s="97">
        <f>B16/B$17</f>
        <v>0.15918932303902272</v>
      </c>
      <c r="D16" s="78">
        <f>B16/National!B16</f>
        <v>1.1764926703830921E-2</v>
      </c>
      <c r="E16" s="51"/>
      <c r="F16" s="9" t="s">
        <v>1</v>
      </c>
      <c r="G16" s="20">
        <v>3604048</v>
      </c>
      <c r="H16" s="105"/>
      <c r="I16" s="106"/>
    </row>
    <row r="17" spans="1:9">
      <c r="A17" s="9" t="s">
        <v>1</v>
      </c>
      <c r="B17" s="18">
        <f>SUM(B15:B16)</f>
        <v>78749</v>
      </c>
      <c r="C17" s="102">
        <f>SUM(C15:C16)</f>
        <v>1</v>
      </c>
      <c r="D17" s="139">
        <f>B17/National!B17</f>
        <v>1.947898073794984E-2</v>
      </c>
      <c r="E17" s="51"/>
      <c r="F17" s="108" t="s">
        <v>35</v>
      </c>
      <c r="G17" s="50">
        <v>64995</v>
      </c>
      <c r="H17" s="105">
        <f>G17/G$18</f>
        <v>1.7714428530818525E-2</v>
      </c>
      <c r="I17" s="106">
        <f>+G17/National!G17</f>
        <v>8.4338290557121921E-3</v>
      </c>
    </row>
    <row r="18" spans="1:9">
      <c r="A18" s="1"/>
      <c r="B18" s="51"/>
      <c r="C18" s="51"/>
      <c r="D18" s="51"/>
      <c r="E18" s="51"/>
      <c r="F18" s="109" t="s">
        <v>196</v>
      </c>
      <c r="G18" s="110">
        <f>SUM(G16:G17)</f>
        <v>3669043</v>
      </c>
      <c r="H18" s="107">
        <f>SUM(H13:H17)</f>
        <v>1</v>
      </c>
      <c r="I18" s="106">
        <f>+G18/National!G18</f>
        <v>1.4339413624203007E-2</v>
      </c>
    </row>
    <row r="19" spans="1:9" ht="23.25">
      <c r="A19" s="5" t="s">
        <v>186</v>
      </c>
      <c r="B19" s="51"/>
      <c r="C19" s="89" t="s">
        <v>197</v>
      </c>
      <c r="D19" s="90" t="s">
        <v>198</v>
      </c>
      <c r="E19" s="51"/>
      <c r="F19" s="67" t="s">
        <v>190</v>
      </c>
      <c r="G19" s="51"/>
      <c r="H19" s="123" t="s">
        <v>197</v>
      </c>
      <c r="I19" s="119" t="s">
        <v>198</v>
      </c>
    </row>
    <row r="20" spans="1:9">
      <c r="A20" s="8" t="s">
        <v>5</v>
      </c>
      <c r="B20" s="52">
        <f>553+209</f>
        <v>762</v>
      </c>
      <c r="C20" s="77">
        <f>B20/B$26</f>
        <v>9.676436226951796E-3</v>
      </c>
      <c r="D20" s="77">
        <f>B20/National!B20</f>
        <v>1.6299116596436441E-2</v>
      </c>
      <c r="E20" s="51"/>
      <c r="F20" s="53" t="s">
        <v>3</v>
      </c>
      <c r="G20" s="54">
        <f>429+204</f>
        <v>633</v>
      </c>
      <c r="H20" s="91">
        <f>G20/G$23</f>
        <v>0.76634382566585957</v>
      </c>
      <c r="I20" s="92">
        <f>+G20/National!G20</f>
        <v>3.0422453981833037E-2</v>
      </c>
    </row>
    <row r="21" spans="1:9">
      <c r="A21" s="8" t="s">
        <v>7</v>
      </c>
      <c r="B21" s="52">
        <f>2358+791</f>
        <v>3149</v>
      </c>
      <c r="C21" s="78">
        <f t="shared" ref="C21:C25" si="0">B21/B$26</f>
        <v>3.9988317163610503E-2</v>
      </c>
      <c r="D21" s="78">
        <f>B21/National!B21</f>
        <v>1.9742204055019873E-2</v>
      </c>
      <c r="E21" s="51"/>
      <c r="F21" s="53" t="s">
        <v>2</v>
      </c>
      <c r="G21" s="54">
        <f>144+48</f>
        <v>192</v>
      </c>
      <c r="H21" s="105">
        <f t="shared" ref="H21:H22" si="1">G21/G$23</f>
        <v>0.23244552058111381</v>
      </c>
      <c r="I21" s="106">
        <f>+G21/National!G21</f>
        <v>1.2033091000250689E-2</v>
      </c>
    </row>
    <row r="22" spans="1:9">
      <c r="A22" s="8" t="s">
        <v>6</v>
      </c>
      <c r="B22" s="52">
        <f>1704+1014</f>
        <v>2718</v>
      </c>
      <c r="C22" s="78">
        <f t="shared" si="0"/>
        <v>3.4515162289835935E-2</v>
      </c>
      <c r="D22" s="78">
        <f>B22/National!B22</f>
        <v>1.1268890316963452E-2</v>
      </c>
      <c r="E22" s="51"/>
      <c r="F22" s="53" t="s">
        <v>28</v>
      </c>
      <c r="G22" s="54">
        <v>1</v>
      </c>
      <c r="H22" s="105">
        <f t="shared" si="1"/>
        <v>1.2106537530266344E-3</v>
      </c>
      <c r="I22" s="106">
        <f>+G22/National!G22</f>
        <v>2.008032128514056E-3</v>
      </c>
    </row>
    <row r="23" spans="1:9">
      <c r="A23" s="8" t="s">
        <v>30</v>
      </c>
      <c r="B23" s="52">
        <f>6208+969+8938</f>
        <v>16115</v>
      </c>
      <c r="C23" s="78">
        <f t="shared" si="0"/>
        <v>0.2046401178442627</v>
      </c>
      <c r="D23" s="78">
        <f>B23/National!B23</f>
        <v>2.0278424083947515E-2</v>
      </c>
      <c r="E23" s="51"/>
      <c r="F23" s="9" t="s">
        <v>1</v>
      </c>
      <c r="G23" s="4">
        <f>SUM(G20:G22)</f>
        <v>826</v>
      </c>
      <c r="H23" s="116">
        <f>SUM(H20:H22)</f>
        <v>1</v>
      </c>
      <c r="I23" s="133">
        <f>+G23/National!G23</f>
        <v>2.2167950403907569E-2</v>
      </c>
    </row>
    <row r="24" spans="1:9">
      <c r="A24" s="8" t="s">
        <v>8</v>
      </c>
      <c r="B24" s="52">
        <f>46453+9484</f>
        <v>55937</v>
      </c>
      <c r="C24" s="78">
        <f t="shared" si="0"/>
        <v>0.71032915121653883</v>
      </c>
      <c r="D24" s="78">
        <f>B24/National!B24</f>
        <v>2.0054106687546428E-2</v>
      </c>
      <c r="E24" s="51"/>
      <c r="F24" s="51"/>
      <c r="G24" s="51"/>
      <c r="H24" s="87"/>
      <c r="I24" s="87"/>
    </row>
    <row r="25" spans="1:9" ht="15.75">
      <c r="A25" s="17" t="s">
        <v>29</v>
      </c>
      <c r="B25" s="52">
        <v>67</v>
      </c>
      <c r="C25" s="78">
        <f t="shared" si="0"/>
        <v>8.5081525880022354E-4</v>
      </c>
      <c r="D25" s="78">
        <f>B25/National!B25</f>
        <v>5.9108954565505077E-3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8">
        <f>SUM(B20:B25)</f>
        <v>78748</v>
      </c>
      <c r="C26" s="103">
        <f>SUM(C20:C25)</f>
        <v>1</v>
      </c>
      <c r="D26" s="139">
        <f>B26/National!B26</f>
        <v>1.9478685201116657E-2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1993161</v>
      </c>
      <c r="H27" s="87"/>
      <c r="I27" s="113">
        <f>+G27/National!G27</f>
        <v>1.4434912104642095E-2</v>
      </c>
    </row>
    <row r="28" spans="1:9" ht="23.25">
      <c r="A28" s="5" t="s">
        <v>172</v>
      </c>
      <c r="B28" s="51"/>
      <c r="C28" s="89" t="s">
        <v>197</v>
      </c>
      <c r="D28" s="90" t="s">
        <v>198</v>
      </c>
      <c r="E28" s="51"/>
      <c r="F28" s="53" t="s">
        <v>15</v>
      </c>
      <c r="G28" s="56">
        <v>2404145</v>
      </c>
      <c r="H28" s="87"/>
      <c r="I28" s="114">
        <f>+G28/National!G28</f>
        <v>1.8078906841357129E-2</v>
      </c>
    </row>
    <row r="29" spans="1:9">
      <c r="A29" s="8" t="s">
        <v>91</v>
      </c>
      <c r="B29" s="52">
        <f>25142+2432</f>
        <v>27574</v>
      </c>
      <c r="C29" s="93">
        <f>B29/B$34</f>
        <v>0.35015047810130923</v>
      </c>
      <c r="D29" s="94">
        <f>B29/National!B29</f>
        <v>3.5363387210750344E-2</v>
      </c>
      <c r="E29" s="51"/>
      <c r="F29" s="51"/>
      <c r="G29" s="62"/>
      <c r="H29" s="87"/>
      <c r="I29" s="87"/>
    </row>
    <row r="30" spans="1:9" ht="23.25">
      <c r="A30" s="8" t="s">
        <v>92</v>
      </c>
      <c r="B30" s="52">
        <f>37825+1634</f>
        <v>39459</v>
      </c>
      <c r="C30" s="97">
        <f t="shared" ref="C30:C33" si="2">B30/B$34</f>
        <v>0.50107302949878729</v>
      </c>
      <c r="D30" s="98">
        <f>B30/National!B30</f>
        <v>2.2068224195574387E-2</v>
      </c>
      <c r="E30" s="51"/>
      <c r="F30" s="5" t="s">
        <v>184</v>
      </c>
      <c r="G30" s="62"/>
      <c r="H30" s="123" t="s">
        <v>197</v>
      </c>
      <c r="I30" s="124" t="s">
        <v>198</v>
      </c>
    </row>
    <row r="31" spans="1:9">
      <c r="A31" s="8" t="s">
        <v>93</v>
      </c>
      <c r="B31" s="52">
        <f>2211+8264</f>
        <v>10475</v>
      </c>
      <c r="C31" s="97">
        <f t="shared" si="2"/>
        <v>0.13301756212777305</v>
      </c>
      <c r="D31" s="98">
        <f>B31/National!B31</f>
        <v>8.1426261621218247E-3</v>
      </c>
      <c r="E31" s="51"/>
      <c r="F31" s="53" t="s">
        <v>16</v>
      </c>
      <c r="G31" s="57">
        <v>610096</v>
      </c>
      <c r="H31" s="112">
        <f>G31/G$38</f>
        <v>0.25227643658127419</v>
      </c>
      <c r="I31" s="113">
        <f>+G31/National!G31</f>
        <v>1.4442936249962301E-2</v>
      </c>
    </row>
    <row r="32" spans="1:9">
      <c r="A32" s="8" t="s">
        <v>94</v>
      </c>
      <c r="B32" s="52">
        <f>263+49</f>
        <v>312</v>
      </c>
      <c r="C32" s="97">
        <f t="shared" si="2"/>
        <v>3.9619550724453645E-3</v>
      </c>
      <c r="D32" s="98">
        <f>B32/National!B32</f>
        <v>5.4720521949593983E-3</v>
      </c>
      <c r="E32" s="51"/>
      <c r="F32" s="53" t="s">
        <v>17</v>
      </c>
      <c r="G32" s="57">
        <v>1168745</v>
      </c>
      <c r="H32" s="113">
        <f t="shared" ref="H32:H37" si="3">G32/G$38</f>
        <v>0.48327939188616431</v>
      </c>
      <c r="I32" s="113">
        <f>+G32/National!G32</f>
        <v>1.8786418381298686E-2</v>
      </c>
    </row>
    <row r="33" spans="1:9">
      <c r="A33" s="8" t="s">
        <v>95</v>
      </c>
      <c r="B33" s="52">
        <f>157+772</f>
        <v>929</v>
      </c>
      <c r="C33" s="97">
        <f t="shared" si="2"/>
        <v>1.1796975199685075E-2</v>
      </c>
      <c r="D33" s="98">
        <f>B33/National!B33</f>
        <v>7.0629200498737946E-3</v>
      </c>
      <c r="E33" s="51"/>
      <c r="F33" s="53" t="s">
        <v>18</v>
      </c>
      <c r="G33" s="57">
        <v>335276</v>
      </c>
      <c r="H33" s="113">
        <f t="shared" si="3"/>
        <v>0.13863758253000066</v>
      </c>
      <c r="I33" s="113">
        <f>+G33/National!G33</f>
        <v>1.0554114294853955E-2</v>
      </c>
    </row>
    <row r="34" spans="1:9">
      <c r="A34" s="9" t="s">
        <v>1</v>
      </c>
      <c r="B34" s="18">
        <f>SUM(B29:B33)</f>
        <v>78749</v>
      </c>
      <c r="C34" s="102">
        <f>SUM(C29:C33)</f>
        <v>0.99999999999999989</v>
      </c>
      <c r="D34" s="141">
        <f>B34/National!B34</f>
        <v>1.947898073794984E-2</v>
      </c>
      <c r="E34" s="51"/>
      <c r="F34" s="53" t="s">
        <v>19</v>
      </c>
      <c r="G34" s="57">
        <v>0</v>
      </c>
      <c r="H34" s="113">
        <f t="shared" si="3"/>
        <v>0</v>
      </c>
      <c r="I34" s="113">
        <f>+G34/National!G34</f>
        <v>0</v>
      </c>
    </row>
    <row r="35" spans="1:9">
      <c r="B35" s="49"/>
      <c r="C35" s="96"/>
      <c r="D35" s="96"/>
      <c r="E35" s="51"/>
      <c r="F35" s="53" t="s">
        <v>20</v>
      </c>
      <c r="G35" s="57">
        <v>17657</v>
      </c>
      <c r="H35" s="113">
        <f t="shared" si="3"/>
        <v>7.301219874766526E-3</v>
      </c>
      <c r="I35" s="113">
        <f>+G35/National!G35</f>
        <v>1.3244017783602335E-3</v>
      </c>
    </row>
    <row r="36" spans="1:9" ht="23.25">
      <c r="A36" s="5" t="s">
        <v>173</v>
      </c>
      <c r="B36" s="51"/>
      <c r="C36" s="89" t="s">
        <v>197</v>
      </c>
      <c r="D36" s="90" t="s">
        <v>198</v>
      </c>
      <c r="E36" s="51"/>
      <c r="F36" s="53" t="s">
        <v>21</v>
      </c>
      <c r="G36" s="57">
        <v>286589</v>
      </c>
      <c r="H36" s="113">
        <f t="shared" si="3"/>
        <v>0.1185053691277943</v>
      </c>
      <c r="I36" s="113">
        <f>+G36/National!G36</f>
        <v>1.8114959314679602E-2</v>
      </c>
    </row>
    <row r="37" spans="1:9">
      <c r="A37" s="8" t="s">
        <v>5</v>
      </c>
      <c r="B37" s="52">
        <f>2519+1236</f>
        <v>3755</v>
      </c>
      <c r="C37" s="93">
        <f>B37/B$43</f>
        <v>2.2898016928067907E-2</v>
      </c>
      <c r="D37" s="94">
        <f>B37/National!B37</f>
        <v>1.7580575687772722E-2</v>
      </c>
      <c r="E37" s="51"/>
      <c r="F37" s="53" t="s">
        <v>22</v>
      </c>
      <c r="G37" s="57">
        <v>0</v>
      </c>
      <c r="H37" s="113">
        <f t="shared" si="3"/>
        <v>0</v>
      </c>
      <c r="I37" s="113">
        <f>+G37/National!G37</f>
        <v>0</v>
      </c>
    </row>
    <row r="38" spans="1:9">
      <c r="A38" s="8" t="s">
        <v>7</v>
      </c>
      <c r="B38" s="52">
        <f>6957+2827</f>
        <v>9784</v>
      </c>
      <c r="C38" s="97">
        <f t="shared" ref="C38:C42" si="4">B38/B$43</f>
        <v>5.9662902163572944E-2</v>
      </c>
      <c r="D38" s="98">
        <f>B38/National!B38</f>
        <v>2.0489279985257101E-2</v>
      </c>
      <c r="E38" s="51"/>
      <c r="F38" s="47" t="s">
        <v>1</v>
      </c>
      <c r="G38" s="21">
        <f>SUM(G31:G37)</f>
        <v>2418363</v>
      </c>
      <c r="H38" s="115">
        <f>SUM(H31:H37)</f>
        <v>1</v>
      </c>
      <c r="I38" s="136">
        <f>+G38/National!G39</f>
        <v>1.2014930438852694E-2</v>
      </c>
    </row>
    <row r="39" spans="1:9">
      <c r="A39" s="8" t="s">
        <v>6</v>
      </c>
      <c r="B39" s="52">
        <f>3492+2452</f>
        <v>5944</v>
      </c>
      <c r="C39" s="97">
        <f t="shared" si="4"/>
        <v>3.6246554625948238E-2</v>
      </c>
      <c r="D39" s="98">
        <f>B39/National!B39</f>
        <v>1.0754769896052905E-2</v>
      </c>
      <c r="E39" s="51"/>
      <c r="G39" s="62"/>
      <c r="H39" s="87"/>
      <c r="I39" s="87"/>
    </row>
    <row r="40" spans="1:9" ht="23.25">
      <c r="A40" s="8" t="s">
        <v>30</v>
      </c>
      <c r="B40" s="52">
        <f>12494+17874+1995</f>
        <v>32363</v>
      </c>
      <c r="C40" s="97">
        <f t="shared" si="4"/>
        <v>0.19734980608337196</v>
      </c>
      <c r="D40" s="98">
        <f>B40/National!B40</f>
        <v>2.0116310727165816E-2</v>
      </c>
      <c r="E40" s="51"/>
      <c r="F40" s="5" t="s">
        <v>185</v>
      </c>
      <c r="G40" s="51"/>
      <c r="H40" s="123" t="s">
        <v>197</v>
      </c>
      <c r="I40" s="124" t="s">
        <v>198</v>
      </c>
    </row>
    <row r="41" spans="1:9">
      <c r="A41" s="8" t="s">
        <v>8</v>
      </c>
      <c r="B41" s="52">
        <f>92906+18970</f>
        <v>111876</v>
      </c>
      <c r="C41" s="97">
        <f t="shared" si="4"/>
        <v>0.68222065029148471</v>
      </c>
      <c r="D41" s="98">
        <f>B41/National!B41</f>
        <v>2.0054479579479024E-2</v>
      </c>
      <c r="E41" s="51"/>
      <c r="F41" s="53" t="s">
        <v>38</v>
      </c>
      <c r="G41" s="57">
        <v>1672439</v>
      </c>
      <c r="H41" s="91">
        <f>G41/G$47</f>
        <v>0.65688678118843302</v>
      </c>
      <c r="I41" s="113">
        <f>+G41/National!G42</f>
        <v>1.8441694618569062E-2</v>
      </c>
    </row>
    <row r="42" spans="1:9">
      <c r="A42" s="17" t="s">
        <v>29</v>
      </c>
      <c r="B42" s="52">
        <v>266</v>
      </c>
      <c r="C42" s="97">
        <f t="shared" si="4"/>
        <v>1.6220699075542113E-3</v>
      </c>
      <c r="D42" s="98">
        <f>B42/National!B42</f>
        <v>5.0397877984084882E-3</v>
      </c>
      <c r="E42" s="51"/>
      <c r="F42" s="53" t="s">
        <v>39</v>
      </c>
      <c r="G42" s="57">
        <v>496175</v>
      </c>
      <c r="H42" s="105">
        <f t="shared" ref="H42:H46" si="5">G42/G$47</f>
        <v>0.19488351961187866</v>
      </c>
      <c r="I42" s="113">
        <f>+G42/National!G43</f>
        <v>1.1141072871115385E-2</v>
      </c>
    </row>
    <row r="43" spans="1:9">
      <c r="A43" s="9" t="s">
        <v>1</v>
      </c>
      <c r="B43" s="18">
        <f>SUM(B37:B42)</f>
        <v>163988</v>
      </c>
      <c r="C43" s="102">
        <f>SUM(C37:C42)</f>
        <v>1</v>
      </c>
      <c r="D43" s="139">
        <f>B43/National!B43</f>
        <v>1.9329160679394278E-2</v>
      </c>
      <c r="E43" s="51"/>
      <c r="F43" s="53" t="s">
        <v>40</v>
      </c>
      <c r="G43" s="57">
        <v>53231</v>
      </c>
      <c r="H43" s="105">
        <f t="shared" si="5"/>
        <v>2.0907632654728499E-2</v>
      </c>
      <c r="I43" s="113">
        <f>+G43/National!G44</f>
        <v>4.0631327057718989E-3</v>
      </c>
    </row>
    <row r="44" spans="1:9">
      <c r="B44" s="49"/>
      <c r="C44" s="96"/>
      <c r="D44" s="96"/>
      <c r="E44" s="51"/>
      <c r="F44" s="53" t="s">
        <v>41</v>
      </c>
      <c r="G44" s="57">
        <v>65349</v>
      </c>
      <c r="H44" s="105">
        <f t="shared" si="5"/>
        <v>2.5667240637107187E-2</v>
      </c>
      <c r="I44" s="113">
        <f>+G44/National!G45</f>
        <v>4.4387132357186377E-3</v>
      </c>
    </row>
    <row r="45" spans="1:9" ht="23.25">
      <c r="A45" s="66" t="s">
        <v>187</v>
      </c>
      <c r="B45" s="58"/>
      <c r="C45" s="89" t="s">
        <v>197</v>
      </c>
      <c r="D45" s="90" t="s">
        <v>198</v>
      </c>
      <c r="E45" s="51"/>
      <c r="F45" s="53" t="s">
        <v>42</v>
      </c>
      <c r="G45" s="57">
        <v>147885</v>
      </c>
      <c r="H45" s="105">
        <f t="shared" si="5"/>
        <v>5.8085049222154843E-2</v>
      </c>
      <c r="I45" s="113">
        <f>+G45/National!G46</f>
        <v>1.7777085909058399E-2</v>
      </c>
    </row>
    <row r="46" spans="1:9">
      <c r="A46" s="8" t="s">
        <v>3</v>
      </c>
      <c r="B46" s="52">
        <v>27447</v>
      </c>
      <c r="C46" s="93">
        <f>B46/B$48</f>
        <v>0.57741826902848492</v>
      </c>
      <c r="D46" s="94">
        <f>B46/National!B48</f>
        <v>2.7712541573355898E-2</v>
      </c>
      <c r="E46" s="51"/>
      <c r="F46" s="53" t="s">
        <v>43</v>
      </c>
      <c r="G46" s="57">
        <v>110929</v>
      </c>
      <c r="H46" s="105">
        <f t="shared" si="5"/>
        <v>4.3569776685697767E-2</v>
      </c>
      <c r="I46" s="113">
        <f>+G46/National!G47</f>
        <v>1.3925267351098534E-2</v>
      </c>
    </row>
    <row r="47" spans="1:9">
      <c r="A47" s="8" t="s">
        <v>2</v>
      </c>
      <c r="B47" s="52">
        <v>20087</v>
      </c>
      <c r="C47" s="97">
        <f>B47/B$48</f>
        <v>0.42258173097151513</v>
      </c>
      <c r="D47" s="98">
        <f>B47/National!B49</f>
        <v>1.0129136786965399E-2</v>
      </c>
      <c r="E47" s="51"/>
      <c r="F47" s="9" t="s">
        <v>1</v>
      </c>
      <c r="G47" s="21">
        <f>SUM(G41:G46)</f>
        <v>2546008</v>
      </c>
      <c r="H47" s="107">
        <f>SUM(H41:H46)</f>
        <v>1</v>
      </c>
      <c r="I47" s="136">
        <f>+G47/National!G49</f>
        <v>1.4033825005873683E-2</v>
      </c>
    </row>
    <row r="48" spans="1:9">
      <c r="A48" s="9" t="s">
        <v>1</v>
      </c>
      <c r="B48" s="18">
        <f>SUM(B46:B47)</f>
        <v>47534</v>
      </c>
      <c r="C48" s="102">
        <f>SUM(C46:C47)</f>
        <v>1</v>
      </c>
      <c r="D48" s="141">
        <f>B48/National!B50</f>
        <v>1.5985826846328696E-2</v>
      </c>
      <c r="E48" s="49"/>
      <c r="G48" s="49"/>
      <c r="H48" s="88"/>
      <c r="I48" s="88"/>
    </row>
    <row r="49" spans="1:9" ht="23.25">
      <c r="B49" s="49"/>
      <c r="C49" s="96"/>
      <c r="D49" s="96"/>
      <c r="E49" s="49"/>
      <c r="F49" s="5" t="s">
        <v>192</v>
      </c>
      <c r="G49" s="51"/>
      <c r="H49" s="123" t="s">
        <v>197</v>
      </c>
      <c r="I49" s="124" t="s">
        <v>198</v>
      </c>
    </row>
    <row r="50" spans="1:9" ht="23.25">
      <c r="A50" s="5" t="s">
        <v>160</v>
      </c>
      <c r="B50" s="51"/>
      <c r="C50" s="96"/>
      <c r="D50" s="90" t="s">
        <v>198</v>
      </c>
      <c r="E50" s="49"/>
      <c r="F50" s="53" t="s">
        <v>96</v>
      </c>
      <c r="G50" s="59">
        <v>559710</v>
      </c>
      <c r="H50" s="91">
        <f>G50/G$52</f>
        <v>0.86573933003460113</v>
      </c>
      <c r="I50" s="113">
        <f>+G50/National!G52</f>
        <v>1.7858315416310194E-2</v>
      </c>
    </row>
    <row r="51" spans="1:9">
      <c r="A51" s="8" t="s">
        <v>5</v>
      </c>
      <c r="B51" s="52">
        <f>6566+6045</f>
        <v>12611</v>
      </c>
      <c r="C51" s="93">
        <f>B51/B$57</f>
        <v>0.26530483443429964</v>
      </c>
      <c r="D51" s="94">
        <f>B51/National!B53</f>
        <v>1.7530349008383597E-2</v>
      </c>
      <c r="E51" s="49"/>
      <c r="F51" s="53" t="s">
        <v>97</v>
      </c>
      <c r="G51" s="63">
        <v>86801</v>
      </c>
      <c r="H51" s="105">
        <f>G51/G$52</f>
        <v>0.1342606699653989</v>
      </c>
      <c r="I51" s="113">
        <f>+G51/National!G53</f>
        <v>1.7212752122765962E-2</v>
      </c>
    </row>
    <row r="52" spans="1:9">
      <c r="A52" s="8" t="s">
        <v>7</v>
      </c>
      <c r="B52" s="52">
        <f>7011+5675</f>
        <v>12686</v>
      </c>
      <c r="C52" s="97">
        <f t="shared" ref="C52:C56" si="6">B52/B$57</f>
        <v>0.26688265241721715</v>
      </c>
      <c r="D52" s="98">
        <f>B52/National!B54</f>
        <v>1.8523304524820147E-2</v>
      </c>
      <c r="E52" s="49"/>
      <c r="F52" s="60" t="s">
        <v>1</v>
      </c>
      <c r="G52" s="48">
        <f>SUM(G50:G51)</f>
        <v>646511</v>
      </c>
      <c r="H52" s="107">
        <f>SUM(H50:H51)</f>
        <v>1</v>
      </c>
      <c r="I52" s="134">
        <f>+G52/National!G54</f>
        <v>1.7768841501964585E-2</v>
      </c>
    </row>
    <row r="53" spans="1:9">
      <c r="A53" s="8" t="s">
        <v>6</v>
      </c>
      <c r="B53" s="52">
        <f>2905+3633</f>
        <v>6538</v>
      </c>
      <c r="C53" s="97">
        <f t="shared" si="6"/>
        <v>0.13754365296419405</v>
      </c>
      <c r="D53" s="98">
        <f>B53/National!B55</f>
        <v>1.2358981338656504E-2</v>
      </c>
      <c r="E53" s="49"/>
      <c r="F53" s="49"/>
      <c r="G53" s="49"/>
    </row>
    <row r="54" spans="1:9">
      <c r="A54" s="8" t="s">
        <v>30</v>
      </c>
      <c r="B54" s="52">
        <f>5084+2402+1673</f>
        <v>9159</v>
      </c>
      <c r="C54" s="97">
        <f t="shared" si="6"/>
        <v>0.19268313207388396</v>
      </c>
      <c r="D54" s="98">
        <f>B54/National!B56</f>
        <v>2.1987914929167657E-2</v>
      </c>
      <c r="E54" s="49"/>
      <c r="F54" s="130" t="s">
        <v>202</v>
      </c>
      <c r="G54" s="49"/>
    </row>
    <row r="55" spans="1:9">
      <c r="A55" s="8" t="s">
        <v>8</v>
      </c>
      <c r="B55" s="52">
        <f>3479+2272</f>
        <v>5751</v>
      </c>
      <c r="C55" s="97">
        <f t="shared" si="6"/>
        <v>0.12098708293011318</v>
      </c>
      <c r="D55" s="98">
        <f>B55/National!B57</f>
        <v>1.4338713779227191E-2</v>
      </c>
      <c r="E55" s="49"/>
      <c r="F55" s="131" t="s">
        <v>203</v>
      </c>
      <c r="G55" s="49"/>
    </row>
    <row r="56" spans="1:9">
      <c r="A56" s="17" t="s">
        <v>29</v>
      </c>
      <c r="B56" s="54">
        <v>789</v>
      </c>
      <c r="C56" s="97">
        <f t="shared" si="6"/>
        <v>1.6598645180292002E-2</v>
      </c>
      <c r="D56" s="98">
        <f>B56/National!B58</f>
        <v>3.5440922811556703E-3</v>
      </c>
      <c r="E56" s="49"/>
      <c r="F56" s="49"/>
      <c r="G56" s="49"/>
    </row>
    <row r="57" spans="1:9">
      <c r="A57" s="9" t="s">
        <v>1</v>
      </c>
      <c r="B57" s="18">
        <f>SUM(B51:B56)</f>
        <v>47534</v>
      </c>
      <c r="C57" s="102">
        <f>SUM(C51:C56)</f>
        <v>1</v>
      </c>
      <c r="D57" s="141">
        <f>B57/National!B59</f>
        <v>1.5985826846328696E-2</v>
      </c>
      <c r="E57" s="49"/>
      <c r="F57" s="49"/>
      <c r="G57" s="49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4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  <col min="8" max="9" width="8.7109375" customWidth="1"/>
  </cols>
  <sheetData>
    <row r="1" spans="1:14" ht="24.75">
      <c r="A1" s="6" t="s">
        <v>0</v>
      </c>
      <c r="B1" s="16">
        <v>2008</v>
      </c>
      <c r="C1" s="16"/>
      <c r="D1" s="16"/>
      <c r="E1" s="7"/>
      <c r="F1" s="11"/>
      <c r="G1" s="7"/>
      <c r="H1" s="7"/>
      <c r="I1" s="23"/>
      <c r="J1" s="23"/>
      <c r="K1" s="23"/>
      <c r="L1" s="23"/>
      <c r="M1" s="1"/>
    </row>
    <row r="2" spans="1:14" ht="15.75">
      <c r="A2" s="12" t="s">
        <v>24</v>
      </c>
      <c r="B2" s="13"/>
      <c r="C2" s="13"/>
      <c r="D2" s="13"/>
      <c r="E2" s="14"/>
      <c r="F2" s="15" t="s">
        <v>23</v>
      </c>
      <c r="G2" s="7"/>
      <c r="H2" s="7"/>
      <c r="I2" s="23"/>
      <c r="J2" s="23"/>
      <c r="K2" s="23"/>
      <c r="L2" s="23"/>
      <c r="M2" s="1"/>
    </row>
    <row r="3" spans="1:14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  <c r="J3" s="3"/>
      <c r="K3" s="3"/>
      <c r="L3" s="1"/>
      <c r="M3" s="1"/>
    </row>
    <row r="4" spans="1:14">
      <c r="A4" s="8" t="s">
        <v>210</v>
      </c>
      <c r="B4" s="50">
        <v>4661900</v>
      </c>
      <c r="C4" s="99"/>
      <c r="D4" s="77">
        <f>B4/National!B4</f>
        <v>1.5332185199247237E-2</v>
      </c>
      <c r="E4" s="1"/>
      <c r="F4" s="146" t="s">
        <v>10</v>
      </c>
      <c r="G4" s="195">
        <v>1835878</v>
      </c>
      <c r="H4" s="189">
        <f>G4/G$6</f>
        <v>0.48910444778942602</v>
      </c>
      <c r="I4" s="112">
        <f>+G4/National!G4</f>
        <v>1.7717724041466786E-2</v>
      </c>
      <c r="J4" s="3"/>
      <c r="K4" s="3"/>
      <c r="L4" s="1"/>
    </row>
    <row r="5" spans="1:14">
      <c r="A5" s="8" t="s">
        <v>167</v>
      </c>
      <c r="B5" s="50">
        <f>47545+3199</f>
        <v>50744</v>
      </c>
      <c r="C5" s="100"/>
      <c r="D5" s="79">
        <f>B5/National!B5</f>
        <v>1.4344832889085642E-2</v>
      </c>
      <c r="E5" s="1"/>
      <c r="F5" s="146" t="s">
        <v>11</v>
      </c>
      <c r="G5" s="196">
        <v>1917672</v>
      </c>
      <c r="H5" s="86">
        <f>G5/G$6</f>
        <v>0.51089555221057403</v>
      </c>
      <c r="I5" s="113">
        <f>+G5/National!G5</f>
        <v>1.8315447264795809E-2</v>
      </c>
      <c r="J5" s="3"/>
      <c r="K5" s="3"/>
      <c r="L5" s="1"/>
    </row>
    <row r="6" spans="1:14">
      <c r="A6" s="1"/>
      <c r="B6" s="51"/>
      <c r="C6" s="96"/>
      <c r="D6" s="96"/>
      <c r="E6" s="1"/>
      <c r="F6" s="9" t="s">
        <v>1</v>
      </c>
      <c r="G6" s="154">
        <f>SUM(G4:G5)</f>
        <v>3753550</v>
      </c>
      <c r="H6" s="182">
        <f>SUM(H4:H5)</f>
        <v>1</v>
      </c>
      <c r="I6" s="183">
        <f>+G6/National!G6</f>
        <v>1.8018141182301984E-2</v>
      </c>
      <c r="J6" s="3"/>
      <c r="K6" s="3"/>
      <c r="L6" s="1"/>
    </row>
    <row r="7" spans="1:14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  <c r="J7" s="3"/>
      <c r="K7" s="3"/>
      <c r="L7" s="1"/>
      <c r="M7" s="1"/>
    </row>
    <row r="8" spans="1:14">
      <c r="A8" s="146" t="s">
        <v>168</v>
      </c>
      <c r="B8" s="149">
        <v>2584400</v>
      </c>
      <c r="C8" s="174">
        <f>B8/B10</f>
        <v>0.76944581977806825</v>
      </c>
      <c r="D8" s="77">
        <f>B8/National!B8</f>
        <v>1.8918624345451211E-2</v>
      </c>
      <c r="E8" s="1"/>
      <c r="F8" s="146" t="s">
        <v>32</v>
      </c>
      <c r="G8" s="206">
        <f>18/100</f>
        <v>0.18</v>
      </c>
      <c r="H8" s="87"/>
      <c r="I8" s="87"/>
      <c r="J8" s="1"/>
      <c r="K8" s="1"/>
      <c r="L8" s="1"/>
      <c r="M8" s="1"/>
    </row>
    <row r="9" spans="1:14">
      <c r="A9" s="146" t="s">
        <v>169</v>
      </c>
      <c r="B9" s="150">
        <v>774381</v>
      </c>
      <c r="C9" s="175">
        <f>B9/B10</f>
        <v>0.23055418022193172</v>
      </c>
      <c r="D9" s="78">
        <f>B9/National!B9</f>
        <v>2.008227763719464E-2</v>
      </c>
      <c r="E9" s="1"/>
      <c r="F9" s="146" t="s">
        <v>31</v>
      </c>
      <c r="G9" s="207">
        <f>19/100</f>
        <v>0.19</v>
      </c>
      <c r="H9" s="87"/>
      <c r="I9" s="87"/>
      <c r="J9" s="1"/>
      <c r="K9" s="1"/>
      <c r="L9" s="1"/>
      <c r="M9" s="1"/>
    </row>
    <row r="10" spans="1:14">
      <c r="A10" s="9" t="s">
        <v>9</v>
      </c>
      <c r="B10" s="152">
        <f>SUM(B8:B9)</f>
        <v>3358781</v>
      </c>
      <c r="C10" s="176">
        <f>SUM(C8:C9)</f>
        <v>1</v>
      </c>
      <c r="D10" s="165"/>
      <c r="E10" s="1"/>
      <c r="F10" s="146" t="s">
        <v>33</v>
      </c>
      <c r="G10" s="205">
        <f>18/100</f>
        <v>0.18</v>
      </c>
      <c r="H10" s="87"/>
      <c r="I10" s="87"/>
      <c r="J10" s="1"/>
      <c r="K10" s="1"/>
      <c r="L10" s="1"/>
      <c r="M10" s="1"/>
    </row>
    <row r="11" spans="1:14">
      <c r="A11" s="146" t="s">
        <v>170</v>
      </c>
      <c r="B11" s="149">
        <v>70697</v>
      </c>
      <c r="C11" s="93">
        <f>B11/(B12+B11)</f>
        <v>2.7387331407745328E-2</v>
      </c>
      <c r="D11" s="77">
        <f>B11/National!B11</f>
        <v>1.8745578560299687E-2</v>
      </c>
      <c r="E11" s="1"/>
      <c r="G11" s="49"/>
      <c r="H11" s="87"/>
      <c r="I11" s="86"/>
      <c r="J11" s="1"/>
      <c r="K11" s="1"/>
      <c r="L11" s="1"/>
      <c r="M11" s="1"/>
    </row>
    <row r="12" spans="1:14" ht="23.25">
      <c r="A12" s="146" t="s">
        <v>171</v>
      </c>
      <c r="B12" s="150">
        <v>2510679</v>
      </c>
      <c r="C12" s="95">
        <f>B12/(B11+B12)</f>
        <v>0.9726126685922547</v>
      </c>
      <c r="D12" s="79">
        <f>B12/National!B12</f>
        <v>1.8990818539036447E-2</v>
      </c>
      <c r="E12" s="1"/>
      <c r="F12" s="67" t="s">
        <v>189</v>
      </c>
      <c r="G12" s="51"/>
      <c r="H12" s="89" t="s">
        <v>197</v>
      </c>
      <c r="I12" s="90" t="s">
        <v>198</v>
      </c>
      <c r="J12" s="1"/>
      <c r="K12" s="1"/>
      <c r="L12" s="1"/>
      <c r="M12" s="1"/>
    </row>
    <row r="13" spans="1:14">
      <c r="A13" s="1"/>
      <c r="B13" s="51"/>
      <c r="C13" s="96"/>
      <c r="D13" s="96"/>
      <c r="E13" s="1"/>
      <c r="F13" s="146" t="s">
        <v>34</v>
      </c>
      <c r="G13" s="149">
        <v>2220095</v>
      </c>
      <c r="H13" s="189">
        <f>G13/G$18</f>
        <v>0.45714208644722315</v>
      </c>
      <c r="I13" s="92">
        <f>+G13/National!G13</f>
        <v>1.6195634247990785E-2</v>
      </c>
      <c r="J13" s="1"/>
      <c r="K13" s="1"/>
      <c r="L13" s="1"/>
      <c r="M13" s="1"/>
      <c r="N13" s="1"/>
    </row>
    <row r="14" spans="1:14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2500749</v>
      </c>
      <c r="H14" s="86">
        <f>G14/G$18</f>
        <v>0.51493184550247029</v>
      </c>
      <c r="I14" s="106">
        <f>+G14/National!G14</f>
        <v>2.2684261611727343E-2</v>
      </c>
      <c r="J14" s="1"/>
      <c r="K14" s="1"/>
      <c r="L14" s="1"/>
      <c r="M14" s="1"/>
      <c r="N14" s="1"/>
    </row>
    <row r="15" spans="1:14">
      <c r="A15" s="146" t="s">
        <v>3</v>
      </c>
      <c r="B15" s="149">
        <v>75390</v>
      </c>
      <c r="C15" s="174">
        <f>B15/B$17</f>
        <v>0.77462111482147444</v>
      </c>
      <c r="D15" s="77">
        <f>B15/National!B15</f>
        <v>2.532221247415381E-2</v>
      </c>
      <c r="E15" s="3"/>
      <c r="F15" s="146" t="s">
        <v>13</v>
      </c>
      <c r="G15" s="150">
        <v>8947</v>
      </c>
      <c r="H15" s="86">
        <f>G15/G$18</f>
        <v>1.8422861397567696E-3</v>
      </c>
      <c r="I15" s="106">
        <f>+G15/National!G15</f>
        <v>1.0609409610723484E-2</v>
      </c>
      <c r="J15" s="1"/>
      <c r="K15" s="1"/>
      <c r="L15" s="1"/>
      <c r="M15" s="1"/>
    </row>
    <row r="16" spans="1:14">
      <c r="A16" s="146" t="s">
        <v>2</v>
      </c>
      <c r="B16" s="150">
        <v>21935</v>
      </c>
      <c r="C16" s="175">
        <f>B16/B$17</f>
        <v>0.22537888517852556</v>
      </c>
      <c r="D16" s="78">
        <f>B16/National!B16</f>
        <v>2.0585806257859864E-2</v>
      </c>
      <c r="E16" s="1"/>
      <c r="F16" s="9" t="s">
        <v>1</v>
      </c>
      <c r="G16" s="162">
        <f>SUM(G13:G15)</f>
        <v>4729791</v>
      </c>
      <c r="H16" s="105"/>
      <c r="I16" s="106"/>
      <c r="J16" s="1"/>
      <c r="K16" s="1"/>
      <c r="L16" s="1"/>
      <c r="M16" s="1"/>
    </row>
    <row r="17" spans="1:14">
      <c r="A17" s="9" t="s">
        <v>1</v>
      </c>
      <c r="B17" s="154">
        <f>SUM(B15:B16)</f>
        <v>97325</v>
      </c>
      <c r="C17" s="176">
        <f>SUM(C15:C16)</f>
        <v>1</v>
      </c>
      <c r="D17" s="177">
        <f>B17/National!B17</f>
        <v>2.4073852370455093E-2</v>
      </c>
      <c r="E17" s="1"/>
      <c r="F17" s="108" t="s">
        <v>35</v>
      </c>
      <c r="G17" s="117">
        <v>126675</v>
      </c>
      <c r="H17" s="105">
        <f>G17/G$18</f>
        <v>2.6083781910549771E-2</v>
      </c>
      <c r="I17" s="106">
        <f>+G17/National!G17</f>
        <v>1.6437499740477604E-2</v>
      </c>
      <c r="J17" s="1"/>
      <c r="K17" s="1"/>
      <c r="L17" s="1"/>
      <c r="M17" s="1"/>
    </row>
    <row r="18" spans="1:14">
      <c r="A18" s="1"/>
      <c r="B18" s="1"/>
      <c r="C18" s="96"/>
      <c r="D18" s="96"/>
      <c r="E18" s="1"/>
      <c r="F18" s="109" t="s">
        <v>196</v>
      </c>
      <c r="G18" s="184">
        <f>SUM(G16:G17)</f>
        <v>4856466</v>
      </c>
      <c r="H18" s="185">
        <f>SUM(H13:H17)</f>
        <v>0.99999999999999989</v>
      </c>
      <c r="I18" s="186">
        <f>+G18/National!G18</f>
        <v>1.89801195368598E-2</v>
      </c>
      <c r="J18" s="1"/>
      <c r="K18" s="1"/>
      <c r="L18" s="1"/>
      <c r="M18" s="1"/>
    </row>
    <row r="19" spans="1:14" ht="23.25">
      <c r="A19" s="5" t="s">
        <v>199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  <c r="J19" s="1"/>
      <c r="K19" s="1"/>
      <c r="L19" s="1"/>
      <c r="M19" s="1"/>
    </row>
    <row r="20" spans="1:14">
      <c r="A20" s="146" t="s">
        <v>5</v>
      </c>
      <c r="B20" s="149">
        <f>539+366</f>
        <v>905</v>
      </c>
      <c r="C20" s="174">
        <f>B20/B$26</f>
        <v>9.2987413305933731E-3</v>
      </c>
      <c r="D20" s="77">
        <f>B20/National!B20</f>
        <v>1.9357874697867424E-2</v>
      </c>
      <c r="E20" s="51"/>
      <c r="F20" s="163" t="s">
        <v>3</v>
      </c>
      <c r="G20" s="108">
        <v>592</v>
      </c>
      <c r="H20" s="189">
        <f>G20/G$23</f>
        <v>0.61283643892339545</v>
      </c>
      <c r="I20" s="92">
        <f>+G20/National!G20</f>
        <v>2.8451963281587927E-2</v>
      </c>
      <c r="J20" s="1"/>
      <c r="K20" s="1"/>
      <c r="L20" s="1"/>
      <c r="M20" s="1"/>
    </row>
    <row r="21" spans="1:14">
      <c r="A21" s="146" t="s">
        <v>7</v>
      </c>
      <c r="B21" s="157">
        <f>2148+1060</f>
        <v>3208</v>
      </c>
      <c r="C21" s="175">
        <f t="shared" ref="C21:C25" si="0">B21/B$26</f>
        <v>3.296172617518623E-2</v>
      </c>
      <c r="D21" s="78">
        <f>B21/National!B21</f>
        <v>2.0112096096698558E-2</v>
      </c>
      <c r="E21" s="51"/>
      <c r="F21" s="163" t="s">
        <v>2</v>
      </c>
      <c r="G21" s="198">
        <v>325</v>
      </c>
      <c r="H21" s="86">
        <f t="shared" ref="H21:H22" si="1">G21/G$23</f>
        <v>0.33643892339544512</v>
      </c>
      <c r="I21" s="106">
        <f>+G21/National!G21</f>
        <v>2.0368513411882679E-2</v>
      </c>
      <c r="J21" s="1"/>
      <c r="K21" s="1"/>
      <c r="L21" s="1"/>
      <c r="M21" s="1"/>
    </row>
    <row r="22" spans="1:14">
      <c r="A22" s="146" t="s">
        <v>6</v>
      </c>
      <c r="B22" s="157">
        <f>3810+2203</f>
        <v>6013</v>
      </c>
      <c r="C22" s="175">
        <f t="shared" si="0"/>
        <v>6.178268687387619E-2</v>
      </c>
      <c r="D22" s="78">
        <f>B22/National!B22</f>
        <v>2.4930035863098322E-2</v>
      </c>
      <c r="E22" s="51"/>
      <c r="F22" s="163" t="s">
        <v>28</v>
      </c>
      <c r="G22" s="181">
        <v>49</v>
      </c>
      <c r="H22" s="86">
        <f t="shared" si="1"/>
        <v>5.0724637681159424E-2</v>
      </c>
      <c r="I22" s="106">
        <f>+G22/National!G22</f>
        <v>9.8393574297188757E-2</v>
      </c>
      <c r="J22" s="1"/>
      <c r="K22" s="1"/>
      <c r="L22" s="1"/>
      <c r="M22" s="1"/>
    </row>
    <row r="23" spans="1:14">
      <c r="A23" s="146" t="s">
        <v>30</v>
      </c>
      <c r="B23" s="157">
        <f>11730+6702+2139</f>
        <v>20571</v>
      </c>
      <c r="C23" s="175">
        <f t="shared" si="0"/>
        <v>0.21136398664269201</v>
      </c>
      <c r="D23" s="78">
        <f>B23/National!B23</f>
        <v>2.5885663160464433E-2</v>
      </c>
      <c r="E23" s="51"/>
      <c r="F23" s="9" t="s">
        <v>1</v>
      </c>
      <c r="G23" s="197">
        <f>SUM(G20:G22)</f>
        <v>966</v>
      </c>
      <c r="H23" s="132">
        <f>SUM(H20:H22)</f>
        <v>1</v>
      </c>
      <c r="I23" s="133">
        <f>+G23/National!G23</f>
        <v>2.592523013338343E-2</v>
      </c>
      <c r="J23" s="1"/>
      <c r="K23" s="1"/>
      <c r="L23" s="1"/>
      <c r="M23" s="1"/>
    </row>
    <row r="24" spans="1:14">
      <c r="A24" s="146" t="s">
        <v>8</v>
      </c>
      <c r="B24" s="157">
        <f>50461+16126</f>
        <v>66587</v>
      </c>
      <c r="C24" s="175">
        <f t="shared" si="0"/>
        <v>0.68417159003339323</v>
      </c>
      <c r="D24" s="78">
        <f>B24/National!B24</f>
        <v>2.3872263475046104E-2</v>
      </c>
      <c r="E24" s="51"/>
      <c r="F24" s="51"/>
      <c r="G24" s="51"/>
      <c r="H24" s="87"/>
      <c r="I24" s="87"/>
      <c r="J24" s="1"/>
      <c r="K24" s="1"/>
      <c r="L24" s="1"/>
      <c r="M24" s="1"/>
    </row>
    <row r="25" spans="1:14" ht="15.75">
      <c r="A25" s="156" t="s">
        <v>29</v>
      </c>
      <c r="B25" s="150">
        <v>41</v>
      </c>
      <c r="C25" s="175">
        <f t="shared" si="0"/>
        <v>4.2126894425892629E-4</v>
      </c>
      <c r="D25" s="78">
        <f>B25/National!B25</f>
        <v>3.6171151301279225E-3</v>
      </c>
      <c r="E25" s="51"/>
      <c r="F25" s="68" t="s">
        <v>37</v>
      </c>
      <c r="G25" s="51"/>
      <c r="H25" s="87"/>
      <c r="I25" s="87"/>
      <c r="J25" s="1"/>
      <c r="K25" s="1"/>
      <c r="L25" s="1"/>
      <c r="M25" s="1"/>
    </row>
    <row r="26" spans="1:14" ht="23.25">
      <c r="A26" s="22" t="s">
        <v>1</v>
      </c>
      <c r="B26" s="154">
        <f>SUM(B20:B25)</f>
        <v>97325</v>
      </c>
      <c r="C26" s="176">
        <f>SUM(C20:C25)</f>
        <v>1</v>
      </c>
      <c r="D26" s="177">
        <f>B26/National!B26</f>
        <v>2.4073792822658084E-2</v>
      </c>
      <c r="E26" s="51"/>
      <c r="F26" s="5" t="s">
        <v>191</v>
      </c>
      <c r="G26" s="55"/>
      <c r="H26" s="111"/>
      <c r="I26" s="118" t="s">
        <v>198</v>
      </c>
      <c r="J26" s="1"/>
      <c r="K26" s="1"/>
      <c r="L26" s="1"/>
      <c r="M26" s="1"/>
    </row>
    <row r="27" spans="1:14">
      <c r="B27" s="49"/>
      <c r="C27" s="96"/>
      <c r="D27" s="96"/>
      <c r="E27" s="51"/>
      <c r="F27" s="53" t="s">
        <v>14</v>
      </c>
      <c r="G27" s="56">
        <v>1915157</v>
      </c>
      <c r="H27" s="87"/>
      <c r="I27" s="113">
        <f>+G27/National!G27</f>
        <v>1.3869989911296701E-2</v>
      </c>
      <c r="J27" s="1"/>
      <c r="K27" s="1"/>
      <c r="L27" s="1"/>
      <c r="M27" s="1"/>
    </row>
    <row r="28" spans="1:14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1916256</v>
      </c>
      <c r="H28" s="87"/>
      <c r="I28" s="114">
        <f>+G28/National!G28</f>
        <v>1.4410035047050676E-2</v>
      </c>
      <c r="J28" s="1"/>
      <c r="K28" s="1"/>
      <c r="L28" s="1"/>
      <c r="M28" s="1"/>
    </row>
    <row r="29" spans="1:14">
      <c r="A29" s="146" t="s">
        <v>91</v>
      </c>
      <c r="B29" s="149">
        <f>8751+2187</f>
        <v>10938</v>
      </c>
      <c r="C29" s="174">
        <f>B29/B$34</f>
        <v>0.11238633444644233</v>
      </c>
      <c r="D29" s="77">
        <f>B29/National!B29</f>
        <v>1.4027878773887986E-2</v>
      </c>
      <c r="E29" s="51"/>
      <c r="F29" s="51"/>
      <c r="G29" s="51"/>
      <c r="H29" s="87"/>
      <c r="I29" s="87"/>
      <c r="J29" s="1"/>
      <c r="K29" s="1"/>
      <c r="L29" s="1"/>
      <c r="M29" s="1"/>
      <c r="N29" s="1"/>
    </row>
    <row r="30" spans="1:14" ht="15" customHeight="1">
      <c r="A30" s="146" t="s">
        <v>92</v>
      </c>
      <c r="B30" s="157">
        <f>60214+520</f>
        <v>60734</v>
      </c>
      <c r="C30" s="175">
        <f t="shared" ref="C30:C33" si="2">B30/B$34</f>
        <v>0.62403287952735675</v>
      </c>
      <c r="D30" s="78">
        <f>B30/National!B30</f>
        <v>3.3966687657923787E-2</v>
      </c>
      <c r="E30" s="51"/>
      <c r="F30" s="5" t="s">
        <v>184</v>
      </c>
      <c r="G30" s="51"/>
      <c r="H30" s="89"/>
      <c r="I30" s="124" t="s">
        <v>198</v>
      </c>
      <c r="J30" s="1"/>
      <c r="K30" s="1"/>
      <c r="L30" s="1"/>
      <c r="M30" s="1"/>
      <c r="N30" s="1"/>
    </row>
    <row r="31" spans="1:14">
      <c r="A31" s="146" t="s">
        <v>93</v>
      </c>
      <c r="B31" s="157">
        <f>5429+18622</f>
        <v>24051</v>
      </c>
      <c r="C31" s="175">
        <f t="shared" si="2"/>
        <v>0.24712047264320575</v>
      </c>
      <c r="D31" s="78">
        <f>B31/National!B31</f>
        <v>1.8695780603836944E-2</v>
      </c>
      <c r="E31" s="51"/>
      <c r="F31" s="163" t="s">
        <v>16</v>
      </c>
      <c r="G31" s="168">
        <v>881005</v>
      </c>
      <c r="H31" s="92">
        <f>G31/G$38</f>
        <v>0.35736001281783464</v>
      </c>
      <c r="I31" s="112">
        <f>+G31/National!G31</f>
        <v>2.0856224349771243E-2</v>
      </c>
      <c r="J31" s="1"/>
      <c r="K31" s="1"/>
      <c r="L31" s="1"/>
      <c r="M31" s="1"/>
      <c r="N31" s="1"/>
    </row>
    <row r="32" spans="1:14">
      <c r="A32" s="146" t="s">
        <v>94</v>
      </c>
      <c r="B32" s="157">
        <f>169+0</f>
        <v>169</v>
      </c>
      <c r="C32" s="175">
        <f t="shared" si="2"/>
        <v>1.7364500385306961E-3</v>
      </c>
      <c r="D32" s="78">
        <f>B32/National!B32</f>
        <v>2.9640282722696739E-3</v>
      </c>
      <c r="E32" s="51"/>
      <c r="F32" s="163" t="s">
        <v>17</v>
      </c>
      <c r="G32" s="169">
        <v>845142</v>
      </c>
      <c r="H32" s="106">
        <f t="shared" ref="H32:H37" si="3">G32/G$38</f>
        <v>0.34281298738700733</v>
      </c>
      <c r="I32" s="113">
        <f>+G32/National!G32</f>
        <v>1.3584820644030592E-2</v>
      </c>
      <c r="J32" s="1"/>
      <c r="K32" s="1"/>
      <c r="L32" s="1"/>
      <c r="M32" s="1"/>
      <c r="N32" s="1"/>
    </row>
    <row r="33" spans="1:14">
      <c r="A33" s="146" t="s">
        <v>95</v>
      </c>
      <c r="B33" s="150">
        <f>827+606</f>
        <v>1433</v>
      </c>
      <c r="C33" s="175">
        <f t="shared" si="2"/>
        <v>1.4723863344464422E-2</v>
      </c>
      <c r="D33" s="78">
        <f>B33/National!B33</f>
        <v>1.0894687224401666E-2</v>
      </c>
      <c r="E33" s="51"/>
      <c r="F33" s="163" t="s">
        <v>18</v>
      </c>
      <c r="G33" s="169">
        <v>428223</v>
      </c>
      <c r="H33" s="106">
        <f t="shared" si="3"/>
        <v>0.17369910133187849</v>
      </c>
      <c r="I33" s="113">
        <f>+G33/National!G33</f>
        <v>1.3479982121253072E-2</v>
      </c>
      <c r="J33" s="1"/>
      <c r="K33" s="1"/>
      <c r="L33" s="1"/>
      <c r="M33" s="1"/>
      <c r="N33" s="1"/>
    </row>
    <row r="34" spans="1:14">
      <c r="A34" s="9" t="s">
        <v>1</v>
      </c>
      <c r="B34" s="154">
        <f>SUM(B29:B33)</f>
        <v>97325</v>
      </c>
      <c r="C34" s="176">
        <f>SUM(C29:C33)</f>
        <v>0.99999999999999989</v>
      </c>
      <c r="D34" s="180">
        <f>B34/National!B34</f>
        <v>2.4073852370455093E-2</v>
      </c>
      <c r="E34" s="51"/>
      <c r="F34" s="163" t="s">
        <v>19</v>
      </c>
      <c r="G34" s="169">
        <v>95323</v>
      </c>
      <c r="H34" s="106">
        <f t="shared" si="3"/>
        <v>3.8665647189101593E-2</v>
      </c>
      <c r="I34" s="113">
        <f>+G34/National!G34</f>
        <v>1.1099614390199485E-2</v>
      </c>
      <c r="J34" s="1"/>
      <c r="K34" s="1"/>
      <c r="L34" s="1"/>
      <c r="M34" s="1"/>
      <c r="N34" s="1"/>
    </row>
    <row r="35" spans="1:14">
      <c r="B35" s="49"/>
      <c r="C35" s="96"/>
      <c r="D35" s="96"/>
      <c r="E35" s="51"/>
      <c r="F35" s="163" t="s">
        <v>20</v>
      </c>
      <c r="G35" s="169">
        <v>105104</v>
      </c>
      <c r="H35" s="106">
        <f t="shared" si="3"/>
        <v>4.2633091511632387E-2</v>
      </c>
      <c r="I35" s="113">
        <f>+G35/National!G35</f>
        <v>7.8835546532691845E-3</v>
      </c>
      <c r="J35" s="1"/>
      <c r="K35" s="1"/>
      <c r="L35" s="1"/>
      <c r="M35" s="1"/>
      <c r="N35" s="1"/>
    </row>
    <row r="36" spans="1:14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79516</v>
      </c>
      <c r="H36" s="106">
        <f t="shared" si="3"/>
        <v>3.2253890476470551E-2</v>
      </c>
      <c r="I36" s="113">
        <f>+G36/National!G36</f>
        <v>5.0261144177413068E-3</v>
      </c>
      <c r="J36" s="1"/>
      <c r="K36" s="1"/>
      <c r="L36" s="1"/>
      <c r="M36" s="1"/>
      <c r="N36" s="1"/>
    </row>
    <row r="37" spans="1:14">
      <c r="A37" s="146" t="s">
        <v>5</v>
      </c>
      <c r="B37" s="149">
        <f>2188+1747</f>
        <v>3935</v>
      </c>
      <c r="C37" s="174">
        <f>B37/B$43</f>
        <v>1.9504143701177683E-2</v>
      </c>
      <c r="D37" s="77">
        <f>B37/National!B37</f>
        <v>1.8423319662153305E-2</v>
      </c>
      <c r="E37" s="51"/>
      <c r="F37" s="163" t="s">
        <v>22</v>
      </c>
      <c r="G37" s="170">
        <v>31002</v>
      </c>
      <c r="H37" s="106">
        <f t="shared" si="3"/>
        <v>1.2575269286075004E-2</v>
      </c>
      <c r="I37" s="114">
        <f>+G37/National!G37</f>
        <v>1.2083644450864386E-3</v>
      </c>
      <c r="J37" s="1"/>
      <c r="K37" s="1"/>
    </row>
    <row r="38" spans="1:14">
      <c r="A38" s="146" t="s">
        <v>7</v>
      </c>
      <c r="B38" s="157">
        <f>5848+3713</f>
        <v>9561</v>
      </c>
      <c r="C38" s="175">
        <f t="shared" ref="C38:C42" si="4">B38/B$43</f>
        <v>4.7389864784487888E-2</v>
      </c>
      <c r="D38" s="78">
        <f>B38/National!B38</f>
        <v>2.0022281882567779E-2</v>
      </c>
      <c r="E38" s="51"/>
      <c r="F38" s="47" t="s">
        <v>1</v>
      </c>
      <c r="G38" s="187">
        <f>SUM(G31:G37)</f>
        <v>2465315</v>
      </c>
      <c r="H38" s="188">
        <f>SUM(H31:H37)</f>
        <v>1</v>
      </c>
      <c r="I38" s="188">
        <f>+G38/National!G39</f>
        <v>1.2248197741554981E-2</v>
      </c>
      <c r="J38" s="1"/>
      <c r="K38" s="1"/>
    </row>
    <row r="39" spans="1:14">
      <c r="A39" s="146" t="s">
        <v>6</v>
      </c>
      <c r="B39" s="157">
        <f>8000+5380</f>
        <v>13380</v>
      </c>
      <c r="C39" s="175">
        <f t="shared" si="4"/>
        <v>6.6319045164360199E-2</v>
      </c>
      <c r="D39" s="78">
        <f>B39/National!B39</f>
        <v>2.4209088359553814E-2</v>
      </c>
      <c r="E39" s="51"/>
      <c r="H39" s="87"/>
      <c r="I39" s="87"/>
      <c r="J39" s="1"/>
      <c r="K39" s="1"/>
    </row>
    <row r="40" spans="1:14" ht="23.25">
      <c r="A40" s="146" t="s">
        <v>30</v>
      </c>
      <c r="B40" s="157">
        <f>23573+13404+4551</f>
        <v>41528</v>
      </c>
      <c r="C40" s="175">
        <f t="shared" si="4"/>
        <v>0.20583686902732068</v>
      </c>
      <c r="D40" s="78">
        <f>B40/National!B40</f>
        <v>2.5813124613841176E-2</v>
      </c>
      <c r="E40" s="51"/>
      <c r="F40" s="5" t="s">
        <v>185</v>
      </c>
      <c r="G40" s="51"/>
      <c r="H40" s="87"/>
      <c r="I40" s="124" t="s">
        <v>198</v>
      </c>
      <c r="J40" s="1"/>
      <c r="K40" s="1"/>
    </row>
    <row r="41" spans="1:14">
      <c r="A41" s="146" t="s">
        <v>8</v>
      </c>
      <c r="B41" s="157">
        <f>100922+32252</f>
        <v>133174</v>
      </c>
      <c r="C41" s="175">
        <f t="shared" si="4"/>
        <v>0.66008763234069556</v>
      </c>
      <c r="D41" s="78">
        <f>B41/National!B41</f>
        <v>2.38722805920621E-2</v>
      </c>
      <c r="E41" s="51"/>
      <c r="F41" s="163" t="s">
        <v>38</v>
      </c>
      <c r="G41" s="168">
        <v>1223996</v>
      </c>
      <c r="H41" s="189">
        <f>G41/G$47</f>
        <v>0.50707126445924233</v>
      </c>
      <c r="I41" s="113">
        <f>+G41/National!G42</f>
        <v>1.3496791480197518E-2</v>
      </c>
      <c r="J41" s="1"/>
      <c r="K41" s="1"/>
    </row>
    <row r="42" spans="1:14">
      <c r="A42" s="156" t="s">
        <v>29</v>
      </c>
      <c r="B42" s="150">
        <v>174</v>
      </c>
      <c r="C42" s="175">
        <f t="shared" si="4"/>
        <v>8.6244498195804751E-4</v>
      </c>
      <c r="D42" s="78">
        <f>B42/National!B42</f>
        <v>3.2967032967032967E-3</v>
      </c>
      <c r="E42" s="51"/>
      <c r="F42" s="163" t="s">
        <v>39</v>
      </c>
      <c r="G42" s="169">
        <v>545626</v>
      </c>
      <c r="H42" s="86">
        <f t="shared" ref="H42:H46" si="5">G42/G$47</f>
        <v>0.22603935449285664</v>
      </c>
      <c r="I42" s="113">
        <f>+G42/National!G43</f>
        <v>1.2251441580843863E-2</v>
      </c>
      <c r="J42" s="1"/>
      <c r="K42" s="1"/>
    </row>
    <row r="43" spans="1:14">
      <c r="A43" s="9" t="s">
        <v>1</v>
      </c>
      <c r="B43" s="154">
        <f>SUM(B37:B42)</f>
        <v>201752</v>
      </c>
      <c r="C43" s="178">
        <f>SUM(C37:C42)</f>
        <v>1</v>
      </c>
      <c r="D43" s="179">
        <f>B43/National!B43</f>
        <v>2.3780379206949011E-2</v>
      </c>
      <c r="E43" s="51"/>
      <c r="F43" s="163" t="s">
        <v>40</v>
      </c>
      <c r="G43" s="169">
        <v>267068</v>
      </c>
      <c r="H43" s="86">
        <f t="shared" si="5"/>
        <v>0.1106396658621441</v>
      </c>
      <c r="I43" s="113">
        <f>+G43/National!G44</f>
        <v>2.0385352998536367E-2</v>
      </c>
      <c r="J43" s="1"/>
      <c r="K43" s="1"/>
    </row>
    <row r="44" spans="1:14">
      <c r="A44" s="1"/>
      <c r="B44" s="49"/>
      <c r="C44" s="96"/>
      <c r="D44" s="96"/>
      <c r="E44" s="51"/>
      <c r="F44" s="163" t="s">
        <v>41</v>
      </c>
      <c r="G44" s="169">
        <v>311545</v>
      </c>
      <c r="H44" s="86">
        <f t="shared" si="5"/>
        <v>0.129065386721815</v>
      </c>
      <c r="I44" s="113">
        <f>+G44/National!G45</f>
        <v>2.116113352954082E-2</v>
      </c>
      <c r="J44" s="1"/>
      <c r="K44" s="1"/>
    </row>
    <row r="45" spans="1:14" ht="23.25">
      <c r="A45" s="66" t="s">
        <v>200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32255</v>
      </c>
      <c r="H45" s="86">
        <f t="shared" si="5"/>
        <v>1.3362448598796779E-2</v>
      </c>
      <c r="I45" s="113">
        <f>+G45/National!G46</f>
        <v>3.8773364844080106E-3</v>
      </c>
      <c r="J45" s="1"/>
      <c r="K45" s="1"/>
    </row>
    <row r="46" spans="1:14">
      <c r="A46" s="8" t="s">
        <v>3</v>
      </c>
      <c r="B46" s="52">
        <v>28885</v>
      </c>
      <c r="C46" s="93">
        <f>B46/B$48</f>
        <v>0.4870748528742222</v>
      </c>
      <c r="D46" s="77">
        <f>B46/National!B48</f>
        <v>2.9164453796275917E-2</v>
      </c>
      <c r="E46" s="51"/>
      <c r="F46" s="163" t="s">
        <v>43</v>
      </c>
      <c r="G46" s="170">
        <v>33364</v>
      </c>
      <c r="H46" s="86">
        <f t="shared" si="5"/>
        <v>1.3821879865145116E-2</v>
      </c>
      <c r="I46" s="113">
        <f>+G46/National!G47</f>
        <v>4.1882881834511398E-3</v>
      </c>
      <c r="J46" s="1"/>
      <c r="K46" s="1"/>
    </row>
    <row r="47" spans="1:14">
      <c r="A47" s="8" t="s">
        <v>2</v>
      </c>
      <c r="B47" s="52">
        <v>30418</v>
      </c>
      <c r="C47" s="97">
        <f>B47/B$48</f>
        <v>0.51292514712577775</v>
      </c>
      <c r="D47" s="78">
        <f>B47/National!B49</f>
        <v>1.5338680877478644E-2</v>
      </c>
      <c r="E47" s="51"/>
      <c r="F47" s="9" t="s">
        <v>1</v>
      </c>
      <c r="G47" s="191">
        <f>SUM(G41:G46)</f>
        <v>2413854</v>
      </c>
      <c r="H47" s="182">
        <f>SUM(H41:H46)</f>
        <v>1</v>
      </c>
      <c r="I47" s="188">
        <f>+G47/National!G49</f>
        <v>1.3305380275996074E-2</v>
      </c>
      <c r="J47" s="1"/>
    </row>
    <row r="48" spans="1:14">
      <c r="A48" s="9" t="s">
        <v>1</v>
      </c>
      <c r="B48" s="155">
        <f>SUM(B46:B47)</f>
        <v>59303</v>
      </c>
      <c r="C48" s="165">
        <f>SUM(C46:C47)</f>
        <v>1</v>
      </c>
      <c r="D48" s="177">
        <f>B48/National!B50</f>
        <v>1.9943776864304093E-2</v>
      </c>
      <c r="E48" s="51"/>
      <c r="H48" s="87"/>
      <c r="I48" s="87"/>
      <c r="J48" s="1"/>
    </row>
    <row r="49" spans="1:10" ht="23.25">
      <c r="B49" s="49"/>
      <c r="C49" s="96"/>
      <c r="D49" s="96"/>
      <c r="E49" s="51"/>
      <c r="F49" s="5" t="s">
        <v>192</v>
      </c>
      <c r="G49" s="51"/>
      <c r="H49" s="88"/>
      <c r="I49" s="124" t="s">
        <v>198</v>
      </c>
      <c r="J49" s="1"/>
    </row>
    <row r="50" spans="1:10" ht="23.25">
      <c r="A50" s="5" t="s">
        <v>160</v>
      </c>
      <c r="B50" s="51"/>
      <c r="C50" s="89" t="s">
        <v>197</v>
      </c>
      <c r="D50" s="119" t="s">
        <v>198</v>
      </c>
      <c r="E50" s="51"/>
      <c r="F50" s="163" t="s">
        <v>96</v>
      </c>
      <c r="G50" s="193">
        <v>623894</v>
      </c>
      <c r="H50" s="189">
        <f>G50/G$52</f>
        <v>0.86324749664120304</v>
      </c>
      <c r="I50" s="113">
        <f>+G50/National!G52</f>
        <v>1.9906193990358277E-2</v>
      </c>
      <c r="J50" s="1"/>
    </row>
    <row r="51" spans="1:10">
      <c r="A51" s="146" t="s">
        <v>5</v>
      </c>
      <c r="B51" s="149">
        <f>5643+7307</f>
        <v>12950</v>
      </c>
      <c r="C51" s="174">
        <f>B51/B$57</f>
        <v>0.21837006559533245</v>
      </c>
      <c r="D51" s="77">
        <f>B51/National!B53</f>
        <v>1.800158747589942E-2</v>
      </c>
      <c r="E51" s="51"/>
      <c r="F51" s="163" t="s">
        <v>97</v>
      </c>
      <c r="G51" s="194">
        <v>98835</v>
      </c>
      <c r="H51" s="86">
        <f>G51/G$52</f>
        <v>0.13675250335879702</v>
      </c>
      <c r="I51" s="113">
        <f>+G51/National!G53</f>
        <v>1.9599110103035378E-2</v>
      </c>
      <c r="J51" s="1"/>
    </row>
    <row r="52" spans="1:10">
      <c r="A52" s="146" t="s">
        <v>7</v>
      </c>
      <c r="B52" s="157">
        <f>5943+7391</f>
        <v>13334</v>
      </c>
      <c r="C52" s="175">
        <f t="shared" ref="C52:C56" si="6">B52/B$57</f>
        <v>0.22484528607321722</v>
      </c>
      <c r="D52" s="78">
        <f>B52/National!B54</f>
        <v>1.9469473635026945E-2</v>
      </c>
      <c r="E52" s="51"/>
      <c r="F52" s="60" t="s">
        <v>1</v>
      </c>
      <c r="G52" s="190">
        <f>SUM(G50:G51)</f>
        <v>722729</v>
      </c>
      <c r="H52" s="185">
        <f>SUM(H50:H51)</f>
        <v>1</v>
      </c>
      <c r="I52" s="192">
        <f>+G52/National!G54</f>
        <v>1.9863632714483378E-2</v>
      </c>
      <c r="J52" s="1"/>
    </row>
    <row r="53" spans="1:10">
      <c r="A53" s="146" t="s">
        <v>6</v>
      </c>
      <c r="B53" s="157">
        <f>4411+5543</f>
        <v>9954</v>
      </c>
      <c r="C53" s="175">
        <f t="shared" si="6"/>
        <v>0.16784985582516904</v>
      </c>
      <c r="D53" s="78">
        <f>B53/National!B55</f>
        <v>1.8816350603393522E-2</v>
      </c>
      <c r="E53" s="51"/>
      <c r="F53" s="51"/>
      <c r="G53" s="51"/>
      <c r="H53" s="87"/>
      <c r="I53" s="87"/>
      <c r="J53" s="1"/>
    </row>
    <row r="54" spans="1:10">
      <c r="A54" s="146" t="s">
        <v>30</v>
      </c>
      <c r="B54" s="157">
        <f>4509+1656+2157</f>
        <v>8322</v>
      </c>
      <c r="C54" s="175">
        <f t="shared" si="6"/>
        <v>0.1403301687941588</v>
      </c>
      <c r="D54" s="78">
        <f>B54/National!B56</f>
        <v>1.9978537836066519E-2</v>
      </c>
      <c r="E54" s="51"/>
      <c r="F54" s="130" t="s">
        <v>202</v>
      </c>
      <c r="G54" s="51"/>
      <c r="H54" s="87"/>
      <c r="I54" s="87"/>
      <c r="J54" s="1"/>
    </row>
    <row r="55" spans="1:10">
      <c r="A55" s="146" t="s">
        <v>8</v>
      </c>
      <c r="B55" s="157">
        <f>6723+7377</f>
        <v>14100</v>
      </c>
      <c r="C55" s="175">
        <f t="shared" si="6"/>
        <v>0.23776200192233107</v>
      </c>
      <c r="D55" s="78">
        <f>B55/National!B57</f>
        <v>3.5154905979325926E-2</v>
      </c>
      <c r="E55" s="51"/>
      <c r="F55" s="199" t="s">
        <v>203</v>
      </c>
      <c r="G55" s="51"/>
      <c r="H55" s="87"/>
      <c r="I55" s="87"/>
      <c r="J55" s="1"/>
    </row>
    <row r="56" spans="1:10">
      <c r="A56" s="156" t="s">
        <v>29</v>
      </c>
      <c r="B56" s="181">
        <v>643</v>
      </c>
      <c r="C56" s="175">
        <f t="shared" si="6"/>
        <v>1.084262178979141E-2</v>
      </c>
      <c r="D56" s="78">
        <f>B56/National!B58</f>
        <v>2.8882779933879547E-3</v>
      </c>
      <c r="E56" s="51"/>
      <c r="F56" s="51"/>
      <c r="G56" s="51"/>
      <c r="H56" s="87"/>
      <c r="I56" s="87"/>
      <c r="J56" s="1"/>
    </row>
    <row r="57" spans="1:10">
      <c r="A57" s="9" t="s">
        <v>1</v>
      </c>
      <c r="B57" s="154">
        <f>SUM(B51:B56)</f>
        <v>59303</v>
      </c>
      <c r="C57" s="178">
        <f>SUM(C51:C56)</f>
        <v>1</v>
      </c>
      <c r="D57" s="177">
        <f>B57/National!B59</f>
        <v>1.9943776864304093E-2</v>
      </c>
      <c r="E57" s="51"/>
      <c r="F57" s="51"/>
      <c r="G57" s="51"/>
      <c r="H57" s="87"/>
      <c r="I57" s="87"/>
      <c r="J57" s="1"/>
    </row>
    <row r="58" spans="1:10">
      <c r="A58" s="1"/>
      <c r="B58" s="1"/>
      <c r="C58" s="1"/>
      <c r="D58" s="1"/>
      <c r="E58" s="1"/>
      <c r="F58" s="1"/>
      <c r="G58" s="1"/>
      <c r="H58" s="87"/>
      <c r="I58" s="87"/>
      <c r="J58" s="1"/>
    </row>
    <row r="59" spans="1:10">
      <c r="A59" s="130"/>
      <c r="B59" s="1"/>
      <c r="C59" s="1"/>
      <c r="D59" s="1"/>
      <c r="E59" s="1"/>
      <c r="F59" s="1"/>
      <c r="G59" s="1"/>
      <c r="H59" s="87"/>
      <c r="I59" s="87"/>
      <c r="J59" s="1"/>
    </row>
    <row r="60" spans="1:10">
      <c r="A60" s="131"/>
      <c r="H60" s="88"/>
      <c r="I60" s="88"/>
    </row>
    <row r="61" spans="1:10">
      <c r="H61" s="88"/>
      <c r="I61" s="88"/>
    </row>
    <row r="62" spans="1:10">
      <c r="H62" s="88"/>
      <c r="I62" s="88"/>
    </row>
    <row r="63" spans="1:10">
      <c r="H63" s="88"/>
      <c r="I63" s="88"/>
    </row>
    <row r="64" spans="1:10">
      <c r="H64" s="88"/>
      <c r="I64" s="88"/>
    </row>
  </sheetData>
  <hyperlinks>
    <hyperlink ref="F2" r:id="rId1"/>
  </hyperlinks>
  <pageMargins left="0.7" right="0.7" top="1" bottom="0.75" header="0.3" footer="0.3"/>
  <pageSetup scale="77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I58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58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2"/>
      <c r="C3" s="89" t="s">
        <v>197</v>
      </c>
      <c r="D3" s="90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4410796</v>
      </c>
      <c r="C4" s="121"/>
      <c r="D4" s="77">
        <f>B4/National!B4</f>
        <v>1.4506347443767331E-2</v>
      </c>
      <c r="E4" s="51"/>
      <c r="F4" s="8" t="s">
        <v>10</v>
      </c>
      <c r="G4" s="50">
        <v>1450040</v>
      </c>
      <c r="H4" s="91">
        <f>G4/G$6</f>
        <v>0.4836429785982212</v>
      </c>
      <c r="I4" s="112">
        <f>+G4/National!G4</f>
        <v>1.3994071811464866E-2</v>
      </c>
    </row>
    <row r="5" spans="1:9">
      <c r="A5" s="8" t="s">
        <v>167</v>
      </c>
      <c r="B5" s="50">
        <f>40165+3397</f>
        <v>43562</v>
      </c>
      <c r="C5" s="122"/>
      <c r="D5" s="79">
        <f>B5/National!B5</f>
        <v>1.2314551677328329E-2</v>
      </c>
      <c r="E5" s="51"/>
      <c r="F5" s="8" t="s">
        <v>11</v>
      </c>
      <c r="G5" s="50">
        <v>1548122</v>
      </c>
      <c r="H5" s="105">
        <f>G5/G$6</f>
        <v>0.51635702140177886</v>
      </c>
      <c r="I5" s="113">
        <f>+G5/National!G5</f>
        <v>1.4785921080596795E-2</v>
      </c>
    </row>
    <row r="6" spans="1:9">
      <c r="A6" s="1"/>
      <c r="B6" s="51"/>
      <c r="C6" s="51"/>
      <c r="D6" s="51"/>
      <c r="E6" s="51"/>
      <c r="F6" s="9" t="s">
        <v>1</v>
      </c>
      <c r="G6" s="20">
        <f>SUM(G4:G5)</f>
        <v>2998162</v>
      </c>
      <c r="H6" s="107">
        <f>SUM(H4:H5)</f>
        <v>1</v>
      </c>
      <c r="I6" s="136">
        <f>+G6/National!G6</f>
        <v>1.4392057173452566E-2</v>
      </c>
    </row>
    <row r="7" spans="1:9" ht="23.25">
      <c r="A7" s="67" t="s">
        <v>36</v>
      </c>
      <c r="B7" s="51"/>
      <c r="C7" s="89" t="s">
        <v>197</v>
      </c>
      <c r="D7" s="90" t="s">
        <v>198</v>
      </c>
      <c r="E7" s="51"/>
      <c r="F7" s="67" t="s">
        <v>208</v>
      </c>
      <c r="G7" s="61"/>
      <c r="H7" s="87"/>
      <c r="I7" s="87"/>
    </row>
    <row r="8" spans="1:9">
      <c r="A8" s="8" t="s">
        <v>168</v>
      </c>
      <c r="B8" s="52">
        <v>2160747</v>
      </c>
      <c r="C8" s="93">
        <f>B8/B10</f>
        <v>0.75568244610979063</v>
      </c>
      <c r="D8" s="77">
        <f>B8/National!B8</f>
        <v>1.5817350564371099E-2</v>
      </c>
      <c r="E8" s="51"/>
      <c r="F8" s="8" t="s">
        <v>32</v>
      </c>
      <c r="G8" s="208">
        <f>20/100</f>
        <v>0.2</v>
      </c>
      <c r="H8" s="87"/>
      <c r="I8" s="87"/>
    </row>
    <row r="9" spans="1:9">
      <c r="A9" s="8" t="s">
        <v>169</v>
      </c>
      <c r="B9" s="52">
        <v>698585</v>
      </c>
      <c r="C9" s="97">
        <f>B9/B10</f>
        <v>0.24431755389020932</v>
      </c>
      <c r="D9" s="78">
        <f>B9/National!B9</f>
        <v>1.8116634993859116E-2</v>
      </c>
      <c r="E9" s="51"/>
      <c r="F9" s="8" t="s">
        <v>31</v>
      </c>
      <c r="G9" s="208">
        <f>20/100</f>
        <v>0.2</v>
      </c>
      <c r="H9" s="87"/>
      <c r="I9" s="87"/>
    </row>
    <row r="10" spans="1:9">
      <c r="A10" s="9" t="s">
        <v>9</v>
      </c>
      <c r="B10" s="18">
        <f>SUM(B8:B9)</f>
        <v>2859332</v>
      </c>
      <c r="C10" s="101">
        <f>SUM(C8:C9)</f>
        <v>1</v>
      </c>
      <c r="D10" s="120"/>
      <c r="E10" s="51"/>
      <c r="F10" s="8" t="s">
        <v>33</v>
      </c>
      <c r="G10" s="208">
        <f>20/100</f>
        <v>0.2</v>
      </c>
      <c r="H10" s="87"/>
      <c r="I10" s="87"/>
    </row>
    <row r="11" spans="1:9">
      <c r="A11" s="8" t="s">
        <v>170</v>
      </c>
      <c r="B11" s="52">
        <v>65985</v>
      </c>
      <c r="C11" s="97">
        <f>B11/(B12+B11)</f>
        <v>3.1000296918809619E-2</v>
      </c>
      <c r="D11" s="78">
        <f>B11/National!B11</f>
        <v>1.7496173830592172E-2</v>
      </c>
      <c r="E11" s="51"/>
      <c r="G11" s="49"/>
      <c r="H11" s="87"/>
      <c r="I11" s="86"/>
    </row>
    <row r="12" spans="1:9" ht="23.25">
      <c r="A12" s="8" t="s">
        <v>171</v>
      </c>
      <c r="B12" s="52">
        <v>2062543</v>
      </c>
      <c r="C12" s="95">
        <f>B12/(B11+B12)</f>
        <v>0.96899970308119043</v>
      </c>
      <c r="D12" s="79">
        <f>B12/National!B12</f>
        <v>1.5601110234307073E-2</v>
      </c>
      <c r="E12" s="5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51"/>
      <c r="D13" s="51"/>
      <c r="E13" s="51"/>
      <c r="F13" s="8" t="s">
        <v>34</v>
      </c>
      <c r="G13" s="50">
        <v>1957262</v>
      </c>
      <c r="H13" s="91">
        <f>G13/G$18</f>
        <v>0.48355108748607845</v>
      </c>
      <c r="I13" s="92">
        <f>+G13/National!G13</f>
        <v>1.4278262632676052E-2</v>
      </c>
    </row>
    <row r="14" spans="1:9" ht="23.25">
      <c r="A14" s="67" t="s">
        <v>162</v>
      </c>
      <c r="B14" s="51"/>
      <c r="C14" s="89" t="s">
        <v>197</v>
      </c>
      <c r="D14" s="90" t="s">
        <v>198</v>
      </c>
      <c r="E14" s="51"/>
      <c r="F14" s="8" t="s">
        <v>12</v>
      </c>
      <c r="G14" s="50">
        <v>1999450</v>
      </c>
      <c r="H14" s="105">
        <f>G14/G$18</f>
        <v>0.49397383787864863</v>
      </c>
      <c r="I14" s="106">
        <f>+G14/National!G14</f>
        <v>1.8136984911147912E-2</v>
      </c>
    </row>
    <row r="15" spans="1:9">
      <c r="A15" s="8" t="s">
        <v>3</v>
      </c>
      <c r="B15" s="52">
        <v>44758</v>
      </c>
      <c r="C15" s="93">
        <f>B15/B$17</f>
        <v>0.73262075851570552</v>
      </c>
      <c r="D15" s="77">
        <f>B15/National!B15</f>
        <v>1.5033447220031519E-2</v>
      </c>
      <c r="E15" s="55"/>
      <c r="F15" s="8" t="s">
        <v>13</v>
      </c>
      <c r="G15" s="50">
        <v>22476</v>
      </c>
      <c r="H15" s="105">
        <f>G15/G$18</f>
        <v>5.5528050114584046E-3</v>
      </c>
      <c r="I15" s="106">
        <f>+G15/National!G15</f>
        <v>2.6652184018176039E-2</v>
      </c>
    </row>
    <row r="16" spans="1:9">
      <c r="A16" s="8" t="s">
        <v>2</v>
      </c>
      <c r="B16" s="52">
        <v>16335</v>
      </c>
      <c r="C16" s="97">
        <f>B16/B$17</f>
        <v>0.26737924148429443</v>
      </c>
      <c r="D16" s="78">
        <f>B16/National!B16</f>
        <v>1.5330255081930288E-2</v>
      </c>
      <c r="E16" s="51"/>
      <c r="F16" s="9" t="s">
        <v>1</v>
      </c>
      <c r="G16" s="20">
        <v>3979188</v>
      </c>
      <c r="H16" s="105"/>
      <c r="I16" s="106"/>
    </row>
    <row r="17" spans="1:9">
      <c r="A17" s="9" t="s">
        <v>1</v>
      </c>
      <c r="B17" s="18">
        <f>SUM(B15:B16)</f>
        <v>61093</v>
      </c>
      <c r="C17" s="102">
        <f>SUM(C15:C16)</f>
        <v>1</v>
      </c>
      <c r="D17" s="139">
        <f>B17/National!B17</f>
        <v>1.5111675960628955E-2</v>
      </c>
      <c r="E17" s="51"/>
      <c r="F17" s="108" t="s">
        <v>35</v>
      </c>
      <c r="G17" s="50">
        <v>68496</v>
      </c>
      <c r="H17" s="105">
        <f>G17/G$18</f>
        <v>1.6922269623814507E-2</v>
      </c>
      <c r="I17" s="106">
        <f>+G17/National!G17</f>
        <v>8.8881230094632249E-3</v>
      </c>
    </row>
    <row r="18" spans="1:9">
      <c r="A18" s="1"/>
      <c r="B18" s="51"/>
      <c r="C18" s="51"/>
      <c r="D18" s="51"/>
      <c r="E18" s="51"/>
      <c r="F18" s="109" t="s">
        <v>196</v>
      </c>
      <c r="G18" s="110">
        <f>SUM(G16:G17)</f>
        <v>4047684</v>
      </c>
      <c r="H18" s="107">
        <f>SUM(H13:H17)</f>
        <v>1</v>
      </c>
      <c r="I18" s="106">
        <f>+G18/National!G18</f>
        <v>1.5819224548763406E-2</v>
      </c>
    </row>
    <row r="19" spans="1:9" ht="23.25">
      <c r="A19" s="5" t="s">
        <v>186</v>
      </c>
      <c r="B19" s="51"/>
      <c r="C19" s="89" t="s">
        <v>197</v>
      </c>
      <c r="D19" s="90" t="s">
        <v>198</v>
      </c>
      <c r="E19" s="51"/>
      <c r="F19" s="67" t="s">
        <v>190</v>
      </c>
      <c r="G19" s="51"/>
      <c r="H19" s="123" t="s">
        <v>197</v>
      </c>
      <c r="I19" s="119" t="s">
        <v>198</v>
      </c>
    </row>
    <row r="20" spans="1:9">
      <c r="A20" s="8" t="s">
        <v>5</v>
      </c>
      <c r="B20" s="52">
        <f>535+371</f>
        <v>906</v>
      </c>
      <c r="C20" s="77">
        <f>B20/B$26</f>
        <v>1.482936410508225E-2</v>
      </c>
      <c r="D20" s="77">
        <f>B20/National!B20</f>
        <v>1.9379264614660649E-2</v>
      </c>
      <c r="E20" s="51"/>
      <c r="F20" s="53" t="s">
        <v>3</v>
      </c>
      <c r="G20" s="54">
        <f>327+174</f>
        <v>501</v>
      </c>
      <c r="H20" s="91">
        <f>G20/G$23</f>
        <v>0.54934210526315785</v>
      </c>
      <c r="I20" s="92">
        <f>+G20/National!G20</f>
        <v>2.4078435142019513E-2</v>
      </c>
    </row>
    <row r="21" spans="1:9">
      <c r="A21" s="8" t="s">
        <v>7</v>
      </c>
      <c r="B21" s="52">
        <f>993+1067</f>
        <v>2060</v>
      </c>
      <c r="C21" s="78">
        <f t="shared" ref="C21:C25" si="0">B21/B$26</f>
        <v>3.3717980194778625E-2</v>
      </c>
      <c r="D21" s="78">
        <f>B21/National!B21</f>
        <v>1.2914874675560795E-2</v>
      </c>
      <c r="E21" s="51"/>
      <c r="F21" s="53" t="s">
        <v>2</v>
      </c>
      <c r="G21" s="54">
        <f>332+79</f>
        <v>411</v>
      </c>
      <c r="H21" s="105">
        <f t="shared" ref="H21:H22" si="1">G21/G$23</f>
        <v>0.45065789473684209</v>
      </c>
      <c r="I21" s="106">
        <f>+G21/National!G21</f>
        <v>2.5758335422411634E-2</v>
      </c>
    </row>
    <row r="22" spans="1:9">
      <c r="A22" s="8" t="s">
        <v>6</v>
      </c>
      <c r="B22" s="52">
        <f>1589+1889</f>
        <v>3478</v>
      </c>
      <c r="C22" s="78">
        <f t="shared" si="0"/>
        <v>5.692773549390294E-2</v>
      </c>
      <c r="D22" s="78">
        <f>B22/National!B22</f>
        <v>1.4419867741868613E-2</v>
      </c>
      <c r="E22" s="51"/>
      <c r="F22" s="53" t="s">
        <v>28</v>
      </c>
      <c r="G22" s="54">
        <v>0</v>
      </c>
      <c r="H22" s="105">
        <f t="shared" si="1"/>
        <v>0</v>
      </c>
      <c r="I22" s="106">
        <f>+G22/National!G22</f>
        <v>0</v>
      </c>
    </row>
    <row r="23" spans="1:9">
      <c r="A23" s="8" t="s">
        <v>30</v>
      </c>
      <c r="B23" s="52">
        <f>4673+3177+2192</f>
        <v>10042</v>
      </c>
      <c r="C23" s="78">
        <f t="shared" si="0"/>
        <v>0.16436696947377036</v>
      </c>
      <c r="D23" s="78">
        <f>B23/National!B23</f>
        <v>1.2636421635184671E-2</v>
      </c>
      <c r="E23" s="51"/>
      <c r="F23" s="9" t="s">
        <v>1</v>
      </c>
      <c r="G23" s="4">
        <f>SUM(G20:G22)</f>
        <v>912</v>
      </c>
      <c r="H23" s="116">
        <f>SUM(H20:H22)</f>
        <v>1</v>
      </c>
      <c r="I23" s="133">
        <f>+G23/National!G23</f>
        <v>2.4475993666299885E-2</v>
      </c>
    </row>
    <row r="24" spans="1:9">
      <c r="A24" s="8" t="s">
        <v>8</v>
      </c>
      <c r="B24" s="52">
        <f>33793+10766</f>
        <v>44559</v>
      </c>
      <c r="C24" s="78">
        <f t="shared" si="0"/>
        <v>0.72933955315492272</v>
      </c>
      <c r="D24" s="78">
        <f>B24/National!B24</f>
        <v>1.5974952891474003E-2</v>
      </c>
      <c r="E24" s="51"/>
      <c r="F24" s="51"/>
      <c r="G24" s="51"/>
      <c r="H24" s="87"/>
      <c r="I24" s="87"/>
    </row>
    <row r="25" spans="1:9" ht="15.75">
      <c r="A25" s="17" t="s">
        <v>29</v>
      </c>
      <c r="B25" s="52">
        <v>50</v>
      </c>
      <c r="C25" s="78">
        <f t="shared" si="0"/>
        <v>8.1839757754317052E-4</v>
      </c>
      <c r="D25" s="78">
        <f>B25/National!B25</f>
        <v>4.411116012351125E-3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8">
        <f>SUM(B20:B25)</f>
        <v>61095</v>
      </c>
      <c r="C26" s="103">
        <f>SUM(C20:C25)</f>
        <v>1</v>
      </c>
      <c r="D26" s="139">
        <f>B26/National!B26</f>
        <v>1.5112133290524486E-2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2802867</v>
      </c>
      <c r="H27" s="87"/>
      <c r="I27" s="113">
        <f>+G27/National!G27</f>
        <v>2.0298981761133133E-2</v>
      </c>
    </row>
    <row r="28" spans="1:9" ht="23.25">
      <c r="A28" s="5" t="s">
        <v>172</v>
      </c>
      <c r="B28" s="51"/>
      <c r="C28" s="89" t="s">
        <v>197</v>
      </c>
      <c r="D28" s="90" t="s">
        <v>198</v>
      </c>
      <c r="E28" s="51"/>
      <c r="F28" s="53" t="s">
        <v>15</v>
      </c>
      <c r="G28" s="56">
        <v>2487734</v>
      </c>
      <c r="H28" s="87"/>
      <c r="I28" s="114">
        <f>+G28/National!G28</f>
        <v>1.8707486957765331E-2</v>
      </c>
    </row>
    <row r="29" spans="1:9">
      <c r="A29" s="8" t="s">
        <v>91</v>
      </c>
      <c r="B29" s="52">
        <f>13197+3488</f>
        <v>16685</v>
      </c>
      <c r="C29" s="93">
        <f>B29/B$34</f>
        <v>0.27310821207012259</v>
      </c>
      <c r="D29" s="94">
        <f>B29/National!B29</f>
        <v>2.1398350460991134E-2</v>
      </c>
      <c r="E29" s="51"/>
      <c r="F29" s="51"/>
      <c r="G29" s="62"/>
      <c r="H29" s="87"/>
      <c r="I29" s="87"/>
    </row>
    <row r="30" spans="1:9" ht="23.25">
      <c r="A30" s="8" t="s">
        <v>92</v>
      </c>
      <c r="B30" s="52">
        <f>28457+4057</f>
        <v>32514</v>
      </c>
      <c r="C30" s="97">
        <f t="shared" ref="C30:C33" si="2">B30/B$34</f>
        <v>0.53220499893604833</v>
      </c>
      <c r="D30" s="98">
        <f>B30/National!B30</f>
        <v>1.8184095934892057E-2</v>
      </c>
      <c r="E30" s="51"/>
      <c r="F30" s="5" t="s">
        <v>184</v>
      </c>
      <c r="G30" s="62"/>
      <c r="H30" s="123" t="s">
        <v>197</v>
      </c>
      <c r="I30" s="124" t="s">
        <v>198</v>
      </c>
    </row>
    <row r="31" spans="1:9">
      <c r="A31" s="8" t="s">
        <v>93</v>
      </c>
      <c r="B31" s="52">
        <f>2483+8767</f>
        <v>11250</v>
      </c>
      <c r="C31" s="97">
        <f t="shared" si="2"/>
        <v>0.18414548311590526</v>
      </c>
      <c r="D31" s="98">
        <f>B31/National!B31</f>
        <v>8.7450638972668762E-3</v>
      </c>
      <c r="E31" s="51"/>
      <c r="F31" s="53" t="s">
        <v>16</v>
      </c>
      <c r="G31" s="57">
        <v>695134</v>
      </c>
      <c r="H31" s="112">
        <f>G31/G$38</f>
        <v>0.17098810103030604</v>
      </c>
      <c r="I31" s="113">
        <f>+G31/National!G31</f>
        <v>1.6456059451596623E-2</v>
      </c>
    </row>
    <row r="32" spans="1:9">
      <c r="A32" s="8" t="s">
        <v>94</v>
      </c>
      <c r="B32" s="52">
        <f>3+14</f>
        <v>17</v>
      </c>
      <c r="C32" s="97">
        <f t="shared" si="2"/>
        <v>2.7826428559736793E-4</v>
      </c>
      <c r="D32" s="98">
        <f>B32/National!B32</f>
        <v>2.9815669010996721E-4</v>
      </c>
      <c r="E32" s="51"/>
      <c r="F32" s="53" t="s">
        <v>17</v>
      </c>
      <c r="G32" s="57">
        <v>879430</v>
      </c>
      <c r="H32" s="113">
        <f t="shared" ref="H32:H37" si="3">G32/G$38</f>
        <v>0.21632097651543739</v>
      </c>
      <c r="I32" s="113">
        <f>+G32/National!G32</f>
        <v>1.4135966286115024E-2</v>
      </c>
    </row>
    <row r="33" spans="1:9">
      <c r="A33" s="8" t="s">
        <v>95</v>
      </c>
      <c r="B33" s="52">
        <f>618+9</f>
        <v>627</v>
      </c>
      <c r="C33" s="97">
        <f t="shared" si="2"/>
        <v>1.0263041592326452E-2</v>
      </c>
      <c r="D33" s="98">
        <f>B33/National!B33</f>
        <v>4.7669008302162214E-3</v>
      </c>
      <c r="E33" s="51"/>
      <c r="F33" s="53" t="s">
        <v>18</v>
      </c>
      <c r="G33" s="57">
        <v>883684</v>
      </c>
      <c r="H33" s="113">
        <f t="shared" si="3"/>
        <v>0.21736736955876848</v>
      </c>
      <c r="I33" s="113">
        <f>+G33/National!G33</f>
        <v>2.7817386083506489E-2</v>
      </c>
    </row>
    <row r="34" spans="1:9">
      <c r="A34" s="9" t="s">
        <v>1</v>
      </c>
      <c r="B34" s="18">
        <f>SUM(B29:B33)</f>
        <v>61093</v>
      </c>
      <c r="C34" s="102">
        <f>SUM(C29:C33)</f>
        <v>1</v>
      </c>
      <c r="D34" s="141">
        <f>B34/National!B34</f>
        <v>1.5111675960628955E-2</v>
      </c>
      <c r="E34" s="51"/>
      <c r="F34" s="53" t="s">
        <v>19</v>
      </c>
      <c r="G34" s="57">
        <v>63094</v>
      </c>
      <c r="H34" s="113">
        <f t="shared" si="3"/>
        <v>1.5519774959081457E-2</v>
      </c>
      <c r="I34" s="113">
        <f>+G34/National!G34</f>
        <v>7.3468005658156605E-3</v>
      </c>
    </row>
    <row r="35" spans="1:9">
      <c r="B35" s="49"/>
      <c r="C35" s="96"/>
      <c r="D35" s="96"/>
      <c r="E35" s="51"/>
      <c r="F35" s="53" t="s">
        <v>20</v>
      </c>
      <c r="G35" s="57">
        <v>248992</v>
      </c>
      <c r="H35" s="113">
        <f t="shared" si="3"/>
        <v>6.1246708191137193E-2</v>
      </c>
      <c r="I35" s="113">
        <f>+G35/National!G35</f>
        <v>1.8676187778075056E-2</v>
      </c>
    </row>
    <row r="36" spans="1:9" ht="23.25">
      <c r="A36" s="5" t="s">
        <v>173</v>
      </c>
      <c r="B36" s="51"/>
      <c r="C36" s="89" t="s">
        <v>197</v>
      </c>
      <c r="D36" s="90" t="s">
        <v>198</v>
      </c>
      <c r="E36" s="51"/>
      <c r="F36" s="53" t="s">
        <v>21</v>
      </c>
      <c r="G36" s="57">
        <v>137667</v>
      </c>
      <c r="H36" s="113">
        <f t="shared" si="3"/>
        <v>3.3863138480550718E-2</v>
      </c>
      <c r="I36" s="113">
        <f>+G36/National!G36</f>
        <v>8.7017718892699897E-3</v>
      </c>
    </row>
    <row r="37" spans="1:9">
      <c r="A37" s="8" t="s">
        <v>5</v>
      </c>
      <c r="B37" s="52">
        <f>2160+1676</f>
        <v>3836</v>
      </c>
      <c r="C37" s="93">
        <f>B37/B$43</f>
        <v>2.9844707932654903E-2</v>
      </c>
      <c r="D37" s="94">
        <f>B37/National!B37</f>
        <v>1.7959810476243985E-2</v>
      </c>
      <c r="E37" s="51"/>
      <c r="F37" s="53" t="s">
        <v>22</v>
      </c>
      <c r="G37" s="57">
        <v>1157393</v>
      </c>
      <c r="H37" s="113">
        <f t="shared" si="3"/>
        <v>0.28469393126471876</v>
      </c>
      <c r="I37" s="113">
        <f>+G37/National!G37</f>
        <v>4.5111687961806611E-2</v>
      </c>
    </row>
    <row r="38" spans="1:9">
      <c r="A38" s="8" t="s">
        <v>7</v>
      </c>
      <c r="B38" s="52">
        <f>2601+3847</f>
        <v>6448</v>
      </c>
      <c r="C38" s="97">
        <f t="shared" ref="C38:C42" si="4">B38/B$43</f>
        <v>5.0166495503065386E-2</v>
      </c>
      <c r="D38" s="98">
        <f>B38/National!B38</f>
        <v>1.350315590197647E-2</v>
      </c>
      <c r="E38" s="51"/>
      <c r="F38" s="47" t="s">
        <v>1</v>
      </c>
      <c r="G38" s="21">
        <f>SUM(G31:G37)</f>
        <v>4065394</v>
      </c>
      <c r="H38" s="115">
        <f>SUM(H31:H37)</f>
        <v>0.99999999999999989</v>
      </c>
      <c r="I38" s="136">
        <f>+G38/National!G39</f>
        <v>2.0197723053374993E-2</v>
      </c>
    </row>
    <row r="39" spans="1:9">
      <c r="A39" s="8" t="s">
        <v>6</v>
      </c>
      <c r="B39" s="52">
        <f>3466+4858</f>
        <v>8324</v>
      </c>
      <c r="C39" s="97">
        <f t="shared" si="4"/>
        <v>6.4762082594217785E-2</v>
      </c>
      <c r="D39" s="98">
        <f>B39/National!B39</f>
        <v>1.5061020291847978E-2</v>
      </c>
      <c r="E39" s="51"/>
      <c r="G39" s="62"/>
      <c r="H39" s="87"/>
      <c r="I39" s="87"/>
    </row>
    <row r="40" spans="1:9" ht="23.25">
      <c r="A40" s="8" t="s">
        <v>30</v>
      </c>
      <c r="B40" s="52">
        <f>9443+6354+4796</f>
        <v>20593</v>
      </c>
      <c r="C40" s="97">
        <f t="shared" si="4"/>
        <v>0.16021691096380669</v>
      </c>
      <c r="D40" s="98">
        <f>B40/National!B40</f>
        <v>1.2800271507725662E-2</v>
      </c>
      <c r="E40" s="51"/>
      <c r="F40" s="5" t="s">
        <v>185</v>
      </c>
      <c r="G40" s="51"/>
      <c r="H40" s="123" t="s">
        <v>197</v>
      </c>
      <c r="I40" s="124" t="s">
        <v>198</v>
      </c>
    </row>
    <row r="41" spans="1:9">
      <c r="A41" s="8" t="s">
        <v>8</v>
      </c>
      <c r="B41" s="52">
        <f>67587+21531</f>
        <v>89118</v>
      </c>
      <c r="C41" s="97">
        <f t="shared" si="4"/>
        <v>0.6933526281392961</v>
      </c>
      <c r="D41" s="98">
        <f>B41/National!B41</f>
        <v>1.5974964345918798E-2</v>
      </c>
      <c r="E41" s="51"/>
      <c r="F41" s="53" t="s">
        <v>38</v>
      </c>
      <c r="G41" s="57">
        <v>1454624</v>
      </c>
      <c r="H41" s="91">
        <f>G41/G$47</f>
        <v>0.58078189057237173</v>
      </c>
      <c r="I41" s="113">
        <f>+G41/National!G42</f>
        <v>1.6039886413101705E-2</v>
      </c>
    </row>
    <row r="42" spans="1:9">
      <c r="A42" s="17" t="s">
        <v>29</v>
      </c>
      <c r="B42" s="52">
        <v>213</v>
      </c>
      <c r="C42" s="97">
        <f t="shared" si="4"/>
        <v>1.6571748669592008E-3</v>
      </c>
      <c r="D42" s="98">
        <f>B42/National!B42</f>
        <v>4.0356195528609322E-3</v>
      </c>
      <c r="E42" s="51"/>
      <c r="F42" s="53" t="s">
        <v>39</v>
      </c>
      <c r="G42" s="57">
        <v>568130</v>
      </c>
      <c r="H42" s="105">
        <f t="shared" ref="H42:H46" si="5">G42/G$47</f>
        <v>0.2268349865607068</v>
      </c>
      <c r="I42" s="113">
        <f>+G42/National!G43</f>
        <v>1.275674455638995E-2</v>
      </c>
    </row>
    <row r="43" spans="1:9">
      <c r="A43" s="9" t="s">
        <v>1</v>
      </c>
      <c r="B43" s="18">
        <f>SUM(B37:B42)</f>
        <v>128532</v>
      </c>
      <c r="C43" s="102">
        <f>SUM(C37:C42)</f>
        <v>1</v>
      </c>
      <c r="D43" s="139">
        <f>B43/National!B43</f>
        <v>1.5149984635728867E-2</v>
      </c>
      <c r="E43" s="51"/>
      <c r="F43" s="53" t="s">
        <v>40</v>
      </c>
      <c r="G43" s="57">
        <v>124013</v>
      </c>
      <c r="H43" s="105">
        <f t="shared" si="5"/>
        <v>4.95141731440919E-2</v>
      </c>
      <c r="I43" s="113">
        <f>+G43/National!G44</f>
        <v>9.4659366955512862E-3</v>
      </c>
    </row>
    <row r="44" spans="1:9">
      <c r="B44" s="49"/>
      <c r="C44" s="96"/>
      <c r="D44" s="96"/>
      <c r="E44" s="51"/>
      <c r="F44" s="53" t="s">
        <v>41</v>
      </c>
      <c r="G44" s="57">
        <v>171983</v>
      </c>
      <c r="H44" s="105">
        <f t="shared" si="5"/>
        <v>6.8666962655853481E-2</v>
      </c>
      <c r="I44" s="113">
        <f>+G44/National!G45</f>
        <v>1.1681635808024582E-2</v>
      </c>
    </row>
    <row r="45" spans="1:9" ht="23.25">
      <c r="A45" s="66" t="s">
        <v>187</v>
      </c>
      <c r="B45" s="58"/>
      <c r="C45" s="89" t="s">
        <v>197</v>
      </c>
      <c r="D45" s="90" t="s">
        <v>198</v>
      </c>
      <c r="E45" s="51"/>
      <c r="F45" s="53" t="s">
        <v>42</v>
      </c>
      <c r="G45" s="57">
        <v>143959</v>
      </c>
      <c r="H45" s="105">
        <f t="shared" si="5"/>
        <v>5.7477932568765579E-2</v>
      </c>
      <c r="I45" s="113">
        <f>+G45/National!G46</f>
        <v>1.7305145960591933E-2</v>
      </c>
    </row>
    <row r="46" spans="1:9">
      <c r="A46" s="8" t="s">
        <v>3</v>
      </c>
      <c r="B46" s="52">
        <v>19425</v>
      </c>
      <c r="C46" s="93">
        <f>B46/B$48</f>
        <v>0.43079550242842252</v>
      </c>
      <c r="D46" s="94">
        <f>B46/National!B48</f>
        <v>1.9612931105856317E-2</v>
      </c>
      <c r="E46" s="51"/>
      <c r="F46" s="53" t="s">
        <v>43</v>
      </c>
      <c r="G46" s="57">
        <v>41887</v>
      </c>
      <c r="H46" s="105">
        <f t="shared" si="5"/>
        <v>1.6724054498210489E-2</v>
      </c>
      <c r="I46" s="113">
        <f>+G46/National!G47</f>
        <v>5.2582072635240949E-3</v>
      </c>
    </row>
    <row r="47" spans="1:9">
      <c r="A47" s="8" t="s">
        <v>2</v>
      </c>
      <c r="B47" s="52">
        <v>25666</v>
      </c>
      <c r="C47" s="97">
        <f>B47/B$48</f>
        <v>0.56920449757157743</v>
      </c>
      <c r="D47" s="98">
        <f>B47/National!B49</f>
        <v>1.2942421704298997E-2</v>
      </c>
      <c r="E47" s="51"/>
      <c r="F47" s="9" t="s">
        <v>1</v>
      </c>
      <c r="G47" s="21">
        <f>SUM(G41:G46)</f>
        <v>2504596</v>
      </c>
      <c r="H47" s="107">
        <f>SUM(H41:H46)</f>
        <v>0.99999999999999989</v>
      </c>
      <c r="I47" s="136">
        <f>+G47/National!G49</f>
        <v>1.3805558338548506E-2</v>
      </c>
    </row>
    <row r="48" spans="1:9">
      <c r="A48" s="9" t="s">
        <v>1</v>
      </c>
      <c r="B48" s="18">
        <f>SUM(B46:B47)</f>
        <v>45091</v>
      </c>
      <c r="C48" s="102">
        <f>SUM(C46:C47)</f>
        <v>1</v>
      </c>
      <c r="D48" s="141">
        <f>B48/National!B50</f>
        <v>1.5164238615050434E-2</v>
      </c>
      <c r="E48" s="49"/>
      <c r="G48" s="49"/>
      <c r="H48" s="88"/>
      <c r="I48" s="88"/>
    </row>
    <row r="49" spans="1:9" ht="23.25">
      <c r="B49" s="49"/>
      <c r="C49" s="96"/>
      <c r="D49" s="96"/>
      <c r="E49" s="49"/>
      <c r="F49" s="5" t="s">
        <v>192</v>
      </c>
      <c r="G49" s="51"/>
      <c r="H49" s="123" t="s">
        <v>197</v>
      </c>
      <c r="I49" s="124" t="s">
        <v>198</v>
      </c>
    </row>
    <row r="50" spans="1:9" ht="23.25">
      <c r="A50" s="5" t="s">
        <v>160</v>
      </c>
      <c r="B50" s="51"/>
      <c r="C50" s="96"/>
      <c r="D50" s="90" t="s">
        <v>198</v>
      </c>
      <c r="E50" s="49"/>
      <c r="F50" s="53" t="s">
        <v>96</v>
      </c>
      <c r="G50" s="59">
        <v>515642</v>
      </c>
      <c r="H50" s="91">
        <f>G50/G$52</f>
        <v>0.86255597542350626</v>
      </c>
      <c r="I50" s="113">
        <f>+G50/National!G52</f>
        <v>1.64522654194083E-2</v>
      </c>
    </row>
    <row r="51" spans="1:9">
      <c r="A51" s="8" t="s">
        <v>5</v>
      </c>
      <c r="B51" s="52">
        <f>5489+7180</f>
        <v>12669</v>
      </c>
      <c r="C51" s="93">
        <f>B51/B$57</f>
        <v>0.28096515934443683</v>
      </c>
      <c r="D51" s="94">
        <f>B51/National!B53</f>
        <v>1.7610973878932026E-2</v>
      </c>
      <c r="E51" s="49"/>
      <c r="F51" s="53" t="s">
        <v>97</v>
      </c>
      <c r="G51" s="63">
        <v>82165</v>
      </c>
      <c r="H51" s="105">
        <f>G51/G$52</f>
        <v>0.13744402457649374</v>
      </c>
      <c r="I51" s="113">
        <f>+G51/National!G53</f>
        <v>1.6293427243546335E-2</v>
      </c>
    </row>
    <row r="52" spans="1:9">
      <c r="A52" s="8" t="s">
        <v>7</v>
      </c>
      <c r="B52" s="52">
        <f>2493+7656</f>
        <v>10149</v>
      </c>
      <c r="C52" s="97">
        <f t="shared" ref="C52:C56" si="6">B52/B$57</f>
        <v>0.22507817524561444</v>
      </c>
      <c r="D52" s="98">
        <f>B52/National!B54</f>
        <v>1.4818935647359269E-2</v>
      </c>
      <c r="E52" s="49"/>
      <c r="F52" s="60" t="s">
        <v>1</v>
      </c>
      <c r="G52" s="48">
        <f>SUM(G50:G51)</f>
        <v>597807</v>
      </c>
      <c r="H52" s="107">
        <f>SUM(H50:H51)</f>
        <v>1</v>
      </c>
      <c r="I52" s="134">
        <f>+G52/National!G54</f>
        <v>1.6430250733189291E-2</v>
      </c>
    </row>
    <row r="53" spans="1:9">
      <c r="A53" s="8" t="s">
        <v>6</v>
      </c>
      <c r="B53" s="52">
        <f>3063+6027</f>
        <v>9090</v>
      </c>
      <c r="C53" s="97">
        <f t="shared" si="6"/>
        <v>0.20159233549932359</v>
      </c>
      <c r="D53" s="98">
        <f>B53/National!B55</f>
        <v>1.7183104981399147E-2</v>
      </c>
      <c r="E53" s="49"/>
      <c r="F53" s="49"/>
      <c r="G53" s="49"/>
    </row>
    <row r="54" spans="1:9">
      <c r="A54" s="8" t="s">
        <v>30</v>
      </c>
      <c r="B54" s="52">
        <f>4252+1495+2889</f>
        <v>8636</v>
      </c>
      <c r="C54" s="97">
        <f t="shared" si="6"/>
        <v>0.1915238074116786</v>
      </c>
      <c r="D54" s="98">
        <f>B54/National!B56</f>
        <v>2.0732354332164197E-2</v>
      </c>
      <c r="E54" s="49"/>
      <c r="F54" s="130" t="s">
        <v>202</v>
      </c>
      <c r="G54" s="49"/>
    </row>
    <row r="55" spans="1:9">
      <c r="A55" s="8" t="s">
        <v>8</v>
      </c>
      <c r="B55" s="52">
        <f>2633+1386</f>
        <v>4019</v>
      </c>
      <c r="C55" s="97">
        <f t="shared" si="6"/>
        <v>8.9130868687764736E-2</v>
      </c>
      <c r="D55" s="98">
        <f>B55/National!B57</f>
        <v>1.0020394831979496E-2</v>
      </c>
      <c r="E55" s="49"/>
      <c r="F55" s="131" t="s">
        <v>203</v>
      </c>
      <c r="G55" s="49"/>
    </row>
    <row r="56" spans="1:9">
      <c r="A56" s="17" t="s">
        <v>29</v>
      </c>
      <c r="B56" s="54">
        <f>528</f>
        <v>528</v>
      </c>
      <c r="C56" s="97">
        <f t="shared" si="6"/>
        <v>1.1709653811181832E-2</v>
      </c>
      <c r="D56" s="98">
        <f>B56/National!B58</f>
        <v>2.3717119448037945E-3</v>
      </c>
      <c r="E56" s="49"/>
      <c r="F56" s="49"/>
      <c r="G56" s="49"/>
    </row>
    <row r="57" spans="1:9">
      <c r="A57" s="9" t="s">
        <v>1</v>
      </c>
      <c r="B57" s="18">
        <f>SUM(B51:B56)</f>
        <v>45091</v>
      </c>
      <c r="C57" s="102">
        <f>SUM(C51:C56)</f>
        <v>1.0000000000000002</v>
      </c>
      <c r="D57" s="141">
        <f>B57/National!B59</f>
        <v>1.5164238615050434E-2</v>
      </c>
      <c r="E57" s="49"/>
      <c r="F57" s="49"/>
      <c r="G57" s="49"/>
    </row>
    <row r="58" spans="1:9">
      <c r="B58" s="49"/>
      <c r="C58" s="49"/>
      <c r="D58" s="49"/>
      <c r="E58" s="49"/>
      <c r="F58" s="49"/>
      <c r="G58" s="49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59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1316456</v>
      </c>
      <c r="C4" s="99"/>
      <c r="D4" s="77">
        <f>B4/National!B4</f>
        <v>4.3295967735601836E-3</v>
      </c>
      <c r="E4" s="1"/>
      <c r="F4" s="146" t="s">
        <v>10</v>
      </c>
      <c r="G4" s="195">
        <v>499414</v>
      </c>
      <c r="H4" s="189">
        <f>G4/G$6</f>
        <v>0.49640726121879775</v>
      </c>
      <c r="I4" s="112">
        <f>+G4/National!G4</f>
        <v>4.8197535100072512E-3</v>
      </c>
    </row>
    <row r="5" spans="1:9">
      <c r="A5" s="8" t="s">
        <v>167</v>
      </c>
      <c r="B5" s="50">
        <f>30276+586</f>
        <v>30862</v>
      </c>
      <c r="C5" s="100"/>
      <c r="D5" s="79">
        <f>B5/National!B5</f>
        <v>8.7243857918761041E-3</v>
      </c>
      <c r="E5" s="1"/>
      <c r="F5" s="146" t="s">
        <v>11</v>
      </c>
      <c r="G5" s="196">
        <v>506643</v>
      </c>
      <c r="H5" s="86">
        <f>G5/G$6</f>
        <v>0.50359273878120225</v>
      </c>
      <c r="I5" s="113">
        <f>+G5/National!G5</f>
        <v>4.838884412234179E-3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1006057</v>
      </c>
      <c r="H6" s="182">
        <f>SUM(H4:H5)</f>
        <v>1</v>
      </c>
      <c r="I6" s="183">
        <f>+G6/National!G6</f>
        <v>4.829368747836898E-3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693571</v>
      </c>
      <c r="C8" s="174">
        <f>B8/B10</f>
        <v>0.78314209384096678</v>
      </c>
      <c r="D8" s="77">
        <f>B8/National!B8</f>
        <v>5.0771588012300502E-3</v>
      </c>
      <c r="E8" s="1"/>
      <c r="F8" s="146" t="s">
        <v>32</v>
      </c>
      <c r="G8" s="206">
        <f>28.4/100</f>
        <v>0.28399999999999997</v>
      </c>
      <c r="H8" s="87"/>
      <c r="I8" s="87"/>
    </row>
    <row r="9" spans="1:9">
      <c r="A9" s="146" t="s">
        <v>169</v>
      </c>
      <c r="B9" s="150">
        <v>192055</v>
      </c>
      <c r="C9" s="175">
        <f>B9/B10</f>
        <v>0.21685790615903328</v>
      </c>
      <c r="D9" s="78">
        <f>B9/National!B9</f>
        <v>4.9806255985250366E-3</v>
      </c>
      <c r="E9" s="1"/>
      <c r="F9" s="146" t="s">
        <v>31</v>
      </c>
      <c r="G9" s="207">
        <f>29.8/100</f>
        <v>0.29799999999999999</v>
      </c>
      <c r="H9" s="87"/>
      <c r="I9" s="87"/>
    </row>
    <row r="10" spans="1:9">
      <c r="A10" s="9" t="s">
        <v>9</v>
      </c>
      <c r="B10" s="152">
        <f>SUM(B8:B9)</f>
        <v>885626</v>
      </c>
      <c r="C10" s="176">
        <f>SUM(C8:C9)</f>
        <v>1</v>
      </c>
      <c r="D10" s="165"/>
      <c r="E10" s="1"/>
      <c r="F10" s="146" t="s">
        <v>33</v>
      </c>
      <c r="G10" s="205">
        <f>23/100</f>
        <v>0.23</v>
      </c>
      <c r="H10" s="87"/>
      <c r="I10" s="87"/>
    </row>
    <row r="11" spans="1:9">
      <c r="A11" s="146" t="s">
        <v>170</v>
      </c>
      <c r="B11" s="149">
        <v>17203</v>
      </c>
      <c r="C11" s="93">
        <f>B11/(B12+B11)</f>
        <v>2.6287841395824324E-2</v>
      </c>
      <c r="D11" s="77">
        <f>B11/National!B11</f>
        <v>4.5614409094139148E-3</v>
      </c>
      <c r="E11" s="1"/>
      <c r="G11" s="49"/>
      <c r="H11" s="87"/>
      <c r="I11" s="86"/>
    </row>
    <row r="12" spans="1:9" ht="23.25">
      <c r="A12" s="146" t="s">
        <v>171</v>
      </c>
      <c r="B12" s="150">
        <v>637206</v>
      </c>
      <c r="C12" s="95">
        <f>B12/(B11+B12)</f>
        <v>0.9737121586041757</v>
      </c>
      <c r="D12" s="79">
        <f>B12/National!B12</f>
        <v>4.8198369915012067E-3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561893</v>
      </c>
      <c r="H13" s="189">
        <f>G13/G$18</f>
        <v>0.49768867276938544</v>
      </c>
      <c r="I13" s="92">
        <f>+G13/National!G13</f>
        <v>4.0990198682967563E-3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508891</v>
      </c>
      <c r="H14" s="86">
        <f>G14/G$18</f>
        <v>0.450742910793132</v>
      </c>
      <c r="I14" s="106">
        <f>+G14/National!G14</f>
        <v>4.6161436337087561E-3</v>
      </c>
    </row>
    <row r="15" spans="1:9">
      <c r="A15" s="146" t="s">
        <v>3</v>
      </c>
      <c r="B15" s="149">
        <v>19837</v>
      </c>
      <c r="C15" s="174">
        <f>B15/B$17</f>
        <v>0.86893863068903587</v>
      </c>
      <c r="D15" s="77">
        <f>B15/National!B15</f>
        <v>6.6629092565298996E-3</v>
      </c>
      <c r="E15" s="3"/>
      <c r="F15" s="146" t="s">
        <v>13</v>
      </c>
      <c r="G15" s="150">
        <v>3681</v>
      </c>
      <c r="H15" s="86">
        <f>G15/G$18</f>
        <v>3.2603930009167366E-3</v>
      </c>
      <c r="I15" s="106">
        <f>+G15/National!G15</f>
        <v>4.3649532555128136E-3</v>
      </c>
    </row>
    <row r="16" spans="1:9">
      <c r="A16" s="146" t="s">
        <v>2</v>
      </c>
      <c r="B16" s="150">
        <v>2992</v>
      </c>
      <c r="C16" s="175">
        <f>B16/B$17</f>
        <v>0.13106136931096413</v>
      </c>
      <c r="D16" s="78">
        <f>B16/National!B16</f>
        <v>2.8079659139966591E-3</v>
      </c>
      <c r="E16" s="1"/>
      <c r="F16" s="9" t="s">
        <v>1</v>
      </c>
      <c r="G16" s="162">
        <v>1074465</v>
      </c>
      <c r="H16" s="105"/>
      <c r="I16" s="106"/>
    </row>
    <row r="17" spans="1:9">
      <c r="A17" s="9" t="s">
        <v>1</v>
      </c>
      <c r="B17" s="154">
        <f>SUM(B15:B16)</f>
        <v>22829</v>
      </c>
      <c r="C17" s="176">
        <f>SUM(C15:C16)</f>
        <v>1</v>
      </c>
      <c r="D17" s="177">
        <f>B17/National!B17</f>
        <v>5.6468736271782106E-3</v>
      </c>
      <c r="E17" s="1"/>
      <c r="F17" s="108" t="s">
        <v>35</v>
      </c>
      <c r="G17" s="117">
        <v>54540</v>
      </c>
      <c r="H17" s="105">
        <f>G17/G$18</f>
        <v>4.8308023436565824E-2</v>
      </c>
      <c r="I17" s="106">
        <f>+G17/National!G17</f>
        <v>7.0771757319569653E-3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1129005</v>
      </c>
      <c r="H18" s="185">
        <f>SUM(H13:H17)</f>
        <v>1</v>
      </c>
      <c r="I18" s="186">
        <f>+G18/National!G18</f>
        <v>4.4123957333815156E-3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299+67</f>
        <v>366</v>
      </c>
      <c r="C20" s="174">
        <f>B20/B$26</f>
        <v>1.6032942001051341E-2</v>
      </c>
      <c r="D20" s="77">
        <f>B20/National!B20</f>
        <v>7.828709546319864E-3</v>
      </c>
      <c r="E20" s="51"/>
      <c r="F20" s="163" t="s">
        <v>3</v>
      </c>
      <c r="G20" s="108">
        <f>96+43</f>
        <v>139</v>
      </c>
      <c r="H20" s="189">
        <f>G20/G$23</f>
        <v>0.89677419354838706</v>
      </c>
      <c r="I20" s="92">
        <f>+G20/National!G20</f>
        <v>6.6804440813187866E-3</v>
      </c>
    </row>
    <row r="21" spans="1:9">
      <c r="A21" s="146" t="s">
        <v>7</v>
      </c>
      <c r="B21" s="157">
        <f>786+142</f>
        <v>928</v>
      </c>
      <c r="C21" s="175">
        <f t="shared" ref="C21:C25" si="0">B21/B$26</f>
        <v>4.0651831084632904E-2</v>
      </c>
      <c r="D21" s="78">
        <f>B21/National!B21</f>
        <v>5.8179629606409794E-3</v>
      </c>
      <c r="E21" s="51"/>
      <c r="F21" s="163" t="s">
        <v>2</v>
      </c>
      <c r="G21" s="198">
        <f>16+0</f>
        <v>16</v>
      </c>
      <c r="H21" s="86">
        <f t="shared" ref="H21:H22" si="1">G21/G$23</f>
        <v>0.1032258064516129</v>
      </c>
      <c r="I21" s="106">
        <f>+G21/National!G21</f>
        <v>1.002757583354224E-3</v>
      </c>
    </row>
    <row r="22" spans="1:9">
      <c r="A22" s="146" t="s">
        <v>6</v>
      </c>
      <c r="B22" s="157">
        <f>1018+231</f>
        <v>1249</v>
      </c>
      <c r="C22" s="175">
        <f t="shared" si="0"/>
        <v>5.4713509724899245E-2</v>
      </c>
      <c r="D22" s="78">
        <f>B22/National!B22</f>
        <v>5.1783826364559795E-3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3227+2179+531</f>
        <v>5937</v>
      </c>
      <c r="C23" s="175">
        <f t="shared" si="0"/>
        <v>0.26007534606623445</v>
      </c>
      <c r="D23" s="78">
        <f>B23/National!B23</f>
        <v>7.4708658880792058E-3</v>
      </c>
      <c r="E23" s="51"/>
      <c r="F23" s="9" t="s">
        <v>1</v>
      </c>
      <c r="G23" s="197">
        <f>SUM(G20:G22)</f>
        <v>155</v>
      </c>
      <c r="H23" s="132">
        <f>SUM(H20:H22)</f>
        <v>1</v>
      </c>
      <c r="I23" s="133">
        <f>+G23/National!G23</f>
        <v>4.1598454147768445E-3</v>
      </c>
    </row>
    <row r="24" spans="1:9">
      <c r="A24" s="146" t="s">
        <v>8</v>
      </c>
      <c r="B24" s="157">
        <f>12328+2000</f>
        <v>14328</v>
      </c>
      <c r="C24" s="175">
        <f t="shared" si="0"/>
        <v>0.62765025407394426</v>
      </c>
      <c r="D24" s="78">
        <f>B24/National!B24</f>
        <v>5.1367653005911151E-3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20</v>
      </c>
      <c r="C25" s="175">
        <f t="shared" si="0"/>
        <v>8.7611704923777818E-4</v>
      </c>
      <c r="D25" s="78">
        <f>B25/National!B25</f>
        <v>1.7644464049404499E-3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22828</v>
      </c>
      <c r="C26" s="176">
        <f>SUM(C20:C25)</f>
        <v>1</v>
      </c>
      <c r="D26" s="177">
        <f>B26/National!B26</f>
        <v>5.6466123047073076E-3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610211</v>
      </c>
      <c r="H27" s="87"/>
      <c r="I27" s="113">
        <f>+G27/National!G27</f>
        <v>4.4192828127209783E-3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673345</v>
      </c>
      <c r="H28" s="87"/>
      <c r="I28" s="114">
        <f>+G28/National!G28</f>
        <v>5.0634805833648204E-3</v>
      </c>
    </row>
    <row r="29" spans="1:9">
      <c r="A29" s="146" t="s">
        <v>91</v>
      </c>
      <c r="B29" s="149">
        <f>7517+993</f>
        <v>8510</v>
      </c>
      <c r="C29" s="174">
        <f>B29/B$34</f>
        <v>0.37277147487844409</v>
      </c>
      <c r="D29" s="77">
        <f>B29/National!B29</f>
        <v>1.09139923537929E-2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v>0</v>
      </c>
      <c r="C30" s="175">
        <f t="shared" ref="C30:C33" si="2">B30/B$34</f>
        <v>0</v>
      </c>
      <c r="D30" s="78">
        <f>B30/National!B30</f>
        <v>0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12017+1976</f>
        <v>13993</v>
      </c>
      <c r="C31" s="175">
        <f t="shared" si="2"/>
        <v>0.61294844277016081</v>
      </c>
      <c r="D31" s="78">
        <f>B31/National!B31</f>
        <v>1.0877304810173813E-2</v>
      </c>
      <c r="E31" s="51"/>
      <c r="F31" s="163" t="s">
        <v>16</v>
      </c>
      <c r="G31" s="168">
        <v>247470</v>
      </c>
      <c r="H31" s="92">
        <f>G31/G$38</f>
        <v>0.26685861249049708</v>
      </c>
      <c r="I31" s="112">
        <f>+G31/National!G31</f>
        <v>5.8584115184793385E-3</v>
      </c>
    </row>
    <row r="32" spans="1:9">
      <c r="A32" s="146" t="s">
        <v>94</v>
      </c>
      <c r="B32" s="157">
        <f>136+19</f>
        <v>155</v>
      </c>
      <c r="C32" s="175">
        <f t="shared" si="2"/>
        <v>6.7896097069516841E-3</v>
      </c>
      <c r="D32" s="78">
        <f>B32/National!B32</f>
        <v>2.718487468649701E-3</v>
      </c>
      <c r="E32" s="51"/>
      <c r="F32" s="163" t="s">
        <v>17</v>
      </c>
      <c r="G32" s="169">
        <v>391755</v>
      </c>
      <c r="H32" s="106">
        <f t="shared" ref="H32:H37" si="3">G32/G$38</f>
        <v>0.42244795626223253</v>
      </c>
      <c r="I32" s="113">
        <f>+G32/National!G32</f>
        <v>6.2970736413551862E-3</v>
      </c>
    </row>
    <row r="33" spans="1:9">
      <c r="A33" s="146" t="s">
        <v>95</v>
      </c>
      <c r="B33" s="150">
        <f>167+4</f>
        <v>171</v>
      </c>
      <c r="C33" s="175">
        <f t="shared" si="2"/>
        <v>7.4904726444434714E-3</v>
      </c>
      <c r="D33" s="78">
        <f>B33/National!B33</f>
        <v>1.3000638627862421E-3</v>
      </c>
      <c r="E33" s="51"/>
      <c r="F33" s="163" t="s">
        <v>18</v>
      </c>
      <c r="G33" s="169">
        <v>105209</v>
      </c>
      <c r="H33" s="106">
        <f t="shared" si="3"/>
        <v>0.11345184370433874</v>
      </c>
      <c r="I33" s="113">
        <f>+G33/National!G33</f>
        <v>3.3118619013806231E-3</v>
      </c>
    </row>
    <row r="34" spans="1:9">
      <c r="A34" s="9" t="s">
        <v>1</v>
      </c>
      <c r="B34" s="154">
        <f>SUM(B29:B33)</f>
        <v>22829</v>
      </c>
      <c r="C34" s="176">
        <f>SUM(C29:C33)</f>
        <v>1</v>
      </c>
      <c r="D34" s="180">
        <f>B34/National!B34</f>
        <v>5.6468736271782106E-3</v>
      </c>
      <c r="E34" s="51"/>
      <c r="F34" s="163" t="s">
        <v>19</v>
      </c>
      <c r="G34" s="169">
        <v>96022</v>
      </c>
      <c r="H34" s="106">
        <f t="shared" si="3"/>
        <v>0.10354506683057546</v>
      </c>
      <c r="I34" s="113">
        <f>+G34/National!G34</f>
        <v>1.118100744810523E-2</v>
      </c>
    </row>
    <row r="35" spans="1:9">
      <c r="B35" s="49"/>
      <c r="C35" s="96"/>
      <c r="D35" s="96"/>
      <c r="E35" s="51"/>
      <c r="F35" s="163" t="s">
        <v>20</v>
      </c>
      <c r="G35" s="169">
        <v>0</v>
      </c>
      <c r="H35" s="106">
        <f t="shared" si="3"/>
        <v>0</v>
      </c>
      <c r="I35" s="113">
        <f>+G35/National!G35</f>
        <v>0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9889</v>
      </c>
      <c r="H36" s="106">
        <f t="shared" si="3"/>
        <v>1.0663776695835962E-2</v>
      </c>
      <c r="I36" s="113">
        <f>+G36/National!G36</f>
        <v>6.250722556094846E-4</v>
      </c>
    </row>
    <row r="37" spans="1:9">
      <c r="A37" s="146" t="s">
        <v>5</v>
      </c>
      <c r="B37" s="149">
        <f>1253+276</f>
        <v>1529</v>
      </c>
      <c r="C37" s="174">
        <f>B37/B$43</f>
        <v>3.2705882352941175E-2</v>
      </c>
      <c r="D37" s="77">
        <f>B37/National!B37</f>
        <v>7.1586418712661758E-3</v>
      </c>
      <c r="E37" s="51"/>
      <c r="F37" s="163" t="s">
        <v>22</v>
      </c>
      <c r="G37" s="170">
        <v>77000</v>
      </c>
      <c r="H37" s="106">
        <f t="shared" si="3"/>
        <v>8.3032744016520277E-2</v>
      </c>
      <c r="I37" s="114">
        <f>+G37/National!G37</f>
        <v>3.0012277360059281E-3</v>
      </c>
    </row>
    <row r="38" spans="1:9">
      <c r="A38" s="146" t="s">
        <v>7</v>
      </c>
      <c r="B38" s="157">
        <f>1613+380</f>
        <v>1993</v>
      </c>
      <c r="C38" s="175">
        <f t="shared" ref="C38:C42" si="4">B38/B$43</f>
        <v>4.2631016042780752E-2</v>
      </c>
      <c r="D38" s="78">
        <f>B38/National!B38</f>
        <v>4.1736646576673551E-3</v>
      </c>
      <c r="E38" s="51"/>
      <c r="F38" s="47" t="s">
        <v>1</v>
      </c>
      <c r="G38" s="187">
        <f>SUM(G31:G37)</f>
        <v>927345</v>
      </c>
      <c r="H38" s="188">
        <f>SUM(H31:H37)</f>
        <v>0.99999999999999989</v>
      </c>
      <c r="I38" s="188">
        <f>+G38/National!G39</f>
        <v>4.6072428613148034E-3</v>
      </c>
    </row>
    <row r="39" spans="1:9">
      <c r="A39" s="146" t="s">
        <v>6</v>
      </c>
      <c r="B39" s="157">
        <f>2053+545</f>
        <v>2598</v>
      </c>
      <c r="C39" s="175">
        <f t="shared" si="4"/>
        <v>5.5572192513368986E-2</v>
      </c>
      <c r="D39" s="78">
        <f>B39/National!B39</f>
        <v>4.7006884572586552E-3</v>
      </c>
      <c r="E39" s="51"/>
      <c r="H39" s="87"/>
      <c r="I39" s="87"/>
    </row>
    <row r="40" spans="1:9" ht="23.25">
      <c r="A40" s="146" t="s">
        <v>30</v>
      </c>
      <c r="B40" s="157">
        <f>6455+4358+1087</f>
        <v>11900</v>
      </c>
      <c r="C40" s="175">
        <f t="shared" si="4"/>
        <v>0.25454545454545452</v>
      </c>
      <c r="D40" s="78">
        <f>B40/National!B40</f>
        <v>7.3968450901731363E-3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24655+3999</f>
        <v>28654</v>
      </c>
      <c r="C41" s="175">
        <f t="shared" si="4"/>
        <v>0.61291978609625664</v>
      </c>
      <c r="D41" s="78">
        <f>B41/National!B41</f>
        <v>5.1364104711501303E-3</v>
      </c>
      <c r="E41" s="51"/>
      <c r="F41" s="163" t="s">
        <v>38</v>
      </c>
      <c r="G41" s="168">
        <v>295704</v>
      </c>
      <c r="H41" s="189">
        <f>G41/G$47</f>
        <v>0.36864433720340239</v>
      </c>
      <c r="I41" s="113">
        <f>+G41/National!G42</f>
        <v>3.260676691639782E-3</v>
      </c>
    </row>
    <row r="42" spans="1:9">
      <c r="A42" s="156" t="s">
        <v>29</v>
      </c>
      <c r="B42" s="150">
        <v>76</v>
      </c>
      <c r="C42" s="175">
        <f t="shared" si="4"/>
        <v>1.625668449197861E-3</v>
      </c>
      <c r="D42" s="78">
        <f>B42/National!B42</f>
        <v>1.4399393709738537E-3</v>
      </c>
      <c r="E42" s="51"/>
      <c r="F42" s="163" t="s">
        <v>39</v>
      </c>
      <c r="G42" s="169">
        <v>332002</v>
      </c>
      <c r="H42" s="86">
        <f t="shared" ref="H42:H46" si="5">G42/G$47</f>
        <v>0.41389584598180612</v>
      </c>
      <c r="I42" s="113">
        <f>+G42/National!G43</f>
        <v>7.4547457557435385E-3</v>
      </c>
    </row>
    <row r="43" spans="1:9">
      <c r="A43" s="9" t="s">
        <v>1</v>
      </c>
      <c r="B43" s="154">
        <f>SUM(B37:B42)</f>
        <v>46750</v>
      </c>
      <c r="C43" s="178">
        <f>SUM(C37:C42)</f>
        <v>0.99999999999999989</v>
      </c>
      <c r="D43" s="179">
        <f>B43/National!B43</f>
        <v>5.5103926004444383E-3</v>
      </c>
      <c r="E43" s="51"/>
      <c r="F43" s="163" t="s">
        <v>40</v>
      </c>
      <c r="G43" s="169">
        <v>59241</v>
      </c>
      <c r="H43" s="86">
        <f t="shared" si="5"/>
        <v>7.3853783446509891E-2</v>
      </c>
      <c r="I43" s="113">
        <f>+G43/National!G44</f>
        <v>4.5218771885298615E-3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76286</v>
      </c>
      <c r="H44" s="86">
        <f t="shared" si="5"/>
        <v>9.5103217771483492E-2</v>
      </c>
      <c r="I44" s="113">
        <f>+G44/National!G45</f>
        <v>5.181589280632175E-3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18698</v>
      </c>
      <c r="H45" s="86">
        <f t="shared" si="5"/>
        <v>2.3310174421141472E-2</v>
      </c>
      <c r="I45" s="113">
        <f>+G45/National!G46</f>
        <v>2.247665093333157E-3</v>
      </c>
    </row>
    <row r="46" spans="1:9">
      <c r="A46" s="8" t="s">
        <v>3</v>
      </c>
      <c r="B46" s="52">
        <v>10509</v>
      </c>
      <c r="C46" s="93">
        <f>B46/B$48</f>
        <v>0.72182155367813727</v>
      </c>
      <c r="D46" s="77">
        <f>B46/National!B48</f>
        <v>1.0610671453870991E-2</v>
      </c>
      <c r="E46" s="51"/>
      <c r="F46" s="163" t="s">
        <v>43</v>
      </c>
      <c r="G46" s="170">
        <v>20208</v>
      </c>
      <c r="H46" s="86">
        <f t="shared" si="5"/>
        <v>2.5192641175656588E-2</v>
      </c>
      <c r="I46" s="113">
        <f>+G46/National!G47</f>
        <v>2.536773996258861E-3</v>
      </c>
    </row>
    <row r="47" spans="1:9">
      <c r="A47" s="8" t="s">
        <v>2</v>
      </c>
      <c r="B47" s="52">
        <v>4050</v>
      </c>
      <c r="C47" s="97">
        <f>B47/B$48</f>
        <v>0.27817844632186278</v>
      </c>
      <c r="D47" s="78">
        <f>B47/National!B49</f>
        <v>2.0422663407781085E-3</v>
      </c>
      <c r="E47" s="51"/>
      <c r="F47" s="9" t="s">
        <v>1</v>
      </c>
      <c r="G47" s="191">
        <f>SUM(G41:G46)</f>
        <v>802139</v>
      </c>
      <c r="H47" s="182">
        <f>SUM(H41:H46)</f>
        <v>0.99999999999999989</v>
      </c>
      <c r="I47" s="188">
        <f>+G47/National!G49</f>
        <v>4.4214622877801289E-3</v>
      </c>
    </row>
    <row r="48" spans="1:9">
      <c r="A48" s="9" t="s">
        <v>1</v>
      </c>
      <c r="B48" s="155">
        <f>SUM(B46:B47)</f>
        <v>14559</v>
      </c>
      <c r="C48" s="165">
        <f>SUM(C46:C47)</f>
        <v>1</v>
      </c>
      <c r="D48" s="177">
        <f>B48/National!B50</f>
        <v>4.8962353905772612E-3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152349</v>
      </c>
      <c r="H50" s="189">
        <f>G50/G$52</f>
        <v>0.86063156705457011</v>
      </c>
      <c r="I50" s="113">
        <f>+G50/National!G52</f>
        <v>4.8609038526369755E-3</v>
      </c>
    </row>
    <row r="51" spans="1:9">
      <c r="A51" s="146" t="s">
        <v>5</v>
      </c>
      <c r="B51" s="149">
        <f>2207+794</f>
        <v>3001</v>
      </c>
      <c r="C51" s="174">
        <f>B51/B$57</f>
        <v>0.20612679442269385</v>
      </c>
      <c r="D51" s="77">
        <f>B51/National!B53</f>
        <v>4.171642008893757E-3</v>
      </c>
      <c r="E51" s="51"/>
      <c r="F51" s="163" t="s">
        <v>97</v>
      </c>
      <c r="G51" s="194">
        <v>24671</v>
      </c>
      <c r="H51" s="86">
        <f>G51/G$52</f>
        <v>0.13936843294542989</v>
      </c>
      <c r="I51" s="113">
        <f>+G51/National!G53</f>
        <v>4.8922916512570023E-3</v>
      </c>
    </row>
    <row r="52" spans="1:9">
      <c r="A52" s="146" t="s">
        <v>7</v>
      </c>
      <c r="B52" s="157">
        <f>1919+750</f>
        <v>2669</v>
      </c>
      <c r="C52" s="175">
        <f t="shared" ref="C52:C56" si="6">B52/B$57</f>
        <v>0.18332303042791401</v>
      </c>
      <c r="D52" s="78">
        <f>B52/National!B54</f>
        <v>3.8971070295400422E-3</v>
      </c>
      <c r="E52" s="51"/>
      <c r="F52" s="60" t="s">
        <v>1</v>
      </c>
      <c r="G52" s="190">
        <f>SUM(G50:G51)</f>
        <v>177020</v>
      </c>
      <c r="H52" s="185">
        <f>SUM(H50:H51)</f>
        <v>1</v>
      </c>
      <c r="I52" s="192">
        <f>+G52/National!G54</f>
        <v>4.8652541452160452E-3</v>
      </c>
    </row>
    <row r="53" spans="1:9">
      <c r="A53" s="146" t="s">
        <v>6</v>
      </c>
      <c r="B53" s="157">
        <f>1770+945</f>
        <v>2715</v>
      </c>
      <c r="C53" s="175">
        <f t="shared" si="6"/>
        <v>0.18648258808984133</v>
      </c>
      <c r="D53" s="78">
        <f>B53/National!B55</f>
        <v>5.1322475274475999E-3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2323+850+972</f>
        <v>4145</v>
      </c>
      <c r="C54" s="175">
        <f t="shared" si="6"/>
        <v>0.28470361975410396</v>
      </c>
      <c r="D54" s="78">
        <f>B54/National!B56</f>
        <v>9.9508578863849693E-3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1440+425</f>
        <v>1865</v>
      </c>
      <c r="C55" s="175">
        <f t="shared" si="6"/>
        <v>0.12809945738031459</v>
      </c>
      <c r="D55" s="78">
        <f>B55/National!B57</f>
        <v>4.6499219610952377E-3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164</v>
      </c>
      <c r="C56" s="175">
        <f t="shared" si="6"/>
        <v>1.126450992513222E-2</v>
      </c>
      <c r="D56" s="78">
        <f>B56/National!B58</f>
        <v>7.3666810406784538E-4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14559</v>
      </c>
      <c r="C57" s="178">
        <f>SUM(C51:C56)</f>
        <v>0.99999999999999989</v>
      </c>
      <c r="D57" s="177">
        <f>B57/National!B59</f>
        <v>4.8962353905772612E-3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60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5633597</v>
      </c>
      <c r="C4" s="99"/>
      <c r="D4" s="77">
        <f>B4/National!B4</f>
        <v>1.8527929072250291E-2</v>
      </c>
      <c r="E4" s="1"/>
      <c r="F4" s="146" t="s">
        <v>10</v>
      </c>
      <c r="G4" s="195">
        <v>1840641</v>
      </c>
      <c r="H4" s="189">
        <f>G4/G$6</f>
        <v>0.48608691059379661</v>
      </c>
      <c r="I4" s="112">
        <f>+G4/National!G4</f>
        <v>1.7763690886545547E-2</v>
      </c>
    </row>
    <row r="5" spans="1:9">
      <c r="A5" s="8" t="s">
        <v>167</v>
      </c>
      <c r="B5" s="50">
        <f>7972+1802</f>
        <v>9774</v>
      </c>
      <c r="C5" s="100"/>
      <c r="D5" s="79">
        <f>B5/National!B5</f>
        <v>2.7630142806622077E-3</v>
      </c>
      <c r="E5" s="1"/>
      <c r="F5" s="146" t="s">
        <v>11</v>
      </c>
      <c r="G5" s="196">
        <v>1946009</v>
      </c>
      <c r="H5" s="86">
        <f>G5/G$6</f>
        <v>0.51391308940620339</v>
      </c>
      <c r="I5" s="113">
        <f>+G5/National!G5</f>
        <v>1.8586090434817855E-2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3786650</v>
      </c>
      <c r="H6" s="182">
        <f>SUM(H4:H5)</f>
        <v>1</v>
      </c>
      <c r="I6" s="183">
        <f>+G6/National!G6</f>
        <v>1.8177030892878424E-2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2796067</v>
      </c>
      <c r="C8" s="174">
        <f>B8/B10</f>
        <v>0.8393870219946552</v>
      </c>
      <c r="D8" s="77">
        <f>B8/National!B8</f>
        <v>2.0468093645609323E-2</v>
      </c>
      <c r="E8" s="1"/>
      <c r="F8" s="146" t="s">
        <v>32</v>
      </c>
      <c r="G8" s="206">
        <f>23.5/100</f>
        <v>0.23499999999999999</v>
      </c>
      <c r="H8" s="87"/>
      <c r="I8" s="87"/>
    </row>
    <row r="9" spans="1:9">
      <c r="A9" s="146" t="s">
        <v>169</v>
      </c>
      <c r="B9" s="150">
        <v>535015</v>
      </c>
      <c r="C9" s="175">
        <f>B9/B10</f>
        <v>0.1606129780053448</v>
      </c>
      <c r="D9" s="78">
        <f>B9/National!B9</f>
        <v>1.38747202863496E-2</v>
      </c>
      <c r="E9" s="1"/>
      <c r="F9" s="146" t="s">
        <v>31</v>
      </c>
      <c r="G9" s="207">
        <f>24.25/100</f>
        <v>0.24249999999999999</v>
      </c>
      <c r="H9" s="87"/>
      <c r="I9" s="87"/>
    </row>
    <row r="10" spans="1:9">
      <c r="A10" s="9" t="s">
        <v>9</v>
      </c>
      <c r="B10" s="152">
        <f>SUM(B8:B9)</f>
        <v>3331082</v>
      </c>
      <c r="C10" s="176">
        <f>SUM(C8:C9)</f>
        <v>1</v>
      </c>
      <c r="D10" s="165"/>
      <c r="E10" s="1"/>
      <c r="F10" s="146" t="s">
        <v>33</v>
      </c>
      <c r="G10" s="205" t="s">
        <v>158</v>
      </c>
      <c r="H10" s="87"/>
      <c r="I10" s="87"/>
    </row>
    <row r="11" spans="1:9">
      <c r="A11" s="146" t="s">
        <v>170</v>
      </c>
      <c r="B11" s="149">
        <v>64796</v>
      </c>
      <c r="C11" s="93">
        <f>B11/(B12+B11)</f>
        <v>2.4069040808086212E-2</v>
      </c>
      <c r="D11" s="77">
        <f>B11/National!B11</f>
        <v>1.7180905956309018E-2</v>
      </c>
      <c r="E11" s="1"/>
      <c r="G11" s="49"/>
      <c r="H11" s="87"/>
      <c r="I11" s="86"/>
    </row>
    <row r="12" spans="1:9" ht="23.25">
      <c r="A12" s="146" t="s">
        <v>171</v>
      </c>
      <c r="B12" s="150">
        <v>2627293</v>
      </c>
      <c r="C12" s="95">
        <f>B12/(B11+B12)</f>
        <v>0.97593095919191375</v>
      </c>
      <c r="D12" s="79">
        <f>B12/National!B12</f>
        <v>1.9872888812899094E-2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2650579</v>
      </c>
      <c r="H13" s="189">
        <f>G13/G$18</f>
        <v>0.57562193765443381</v>
      </c>
      <c r="I13" s="92">
        <f>+G13/National!G13</f>
        <v>1.9336023021269435E-2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1862521</v>
      </c>
      <c r="H14" s="86">
        <f>G14/G$18</f>
        <v>0.40448066137325989</v>
      </c>
      <c r="I14" s="106">
        <f>+G14/National!G14</f>
        <v>1.6894903735375291E-2</v>
      </c>
    </row>
    <row r="15" spans="1:9">
      <c r="A15" s="146" t="s">
        <v>3</v>
      </c>
      <c r="B15" s="149">
        <v>14051</v>
      </c>
      <c r="C15" s="174">
        <f>B15/B$17</f>
        <v>0.44769794487812647</v>
      </c>
      <c r="D15" s="77">
        <f>B15/National!B15</f>
        <v>4.7194907477694018E-3</v>
      </c>
      <c r="E15" s="3"/>
      <c r="F15" s="146" t="s">
        <v>13</v>
      </c>
      <c r="G15" s="150">
        <v>12133</v>
      </c>
      <c r="H15" s="86">
        <f>G15/G$18</f>
        <v>2.6349039095085436E-3</v>
      </c>
      <c r="I15" s="106">
        <f>+G15/National!G15</f>
        <v>1.4387388712071984E-2</v>
      </c>
    </row>
    <row r="16" spans="1:9">
      <c r="A16" s="146" t="s">
        <v>2</v>
      </c>
      <c r="B16" s="150">
        <v>17334</v>
      </c>
      <c r="C16" s="175">
        <f>B16/B$17</f>
        <v>0.55230205512187347</v>
      </c>
      <c r="D16" s="78">
        <f>B16/National!B16</f>
        <v>1.6267807872064867E-2</v>
      </c>
      <c r="E16" s="1"/>
      <c r="F16" s="9" t="s">
        <v>1</v>
      </c>
      <c r="G16" s="162">
        <v>4525233</v>
      </c>
      <c r="H16" s="105"/>
      <c r="I16" s="106"/>
    </row>
    <row r="17" spans="1:9">
      <c r="A17" s="9" t="s">
        <v>1</v>
      </c>
      <c r="B17" s="154">
        <f>SUM(B15:B16)</f>
        <v>31385</v>
      </c>
      <c r="C17" s="176">
        <f>SUM(C15:C16)</f>
        <v>1</v>
      </c>
      <c r="D17" s="177">
        <f>B17/National!B17</f>
        <v>7.7632453803928398E-3</v>
      </c>
      <c r="E17" s="1"/>
      <c r="F17" s="108" t="s">
        <v>35</v>
      </c>
      <c r="G17" s="117">
        <v>79489</v>
      </c>
      <c r="H17" s="105">
        <f>G17/G$18</f>
        <v>1.726249706279771E-2</v>
      </c>
      <c r="I17" s="106">
        <f>+G17/National!G17</f>
        <v>1.0314587857673765E-2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4604722</v>
      </c>
      <c r="H18" s="185">
        <f>SUM(H13:H17)</f>
        <v>0.99999999999999989</v>
      </c>
      <c r="I18" s="186">
        <f>+G18/National!G18</f>
        <v>1.7996249534951572E-2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184+297</f>
        <v>481</v>
      </c>
      <c r="C20" s="174">
        <f>B20/B$26</f>
        <v>1.5325792576071372E-2</v>
      </c>
      <c r="D20" s="77">
        <f>B20/National!B20</f>
        <v>1.0288549977540588E-2</v>
      </c>
      <c r="E20" s="51"/>
      <c r="F20" s="163" t="s">
        <v>3</v>
      </c>
      <c r="G20" s="108">
        <f>58+162</f>
        <v>220</v>
      </c>
      <c r="H20" s="189">
        <f>G20/G$23</f>
        <v>0.37225042301184436</v>
      </c>
      <c r="I20" s="92">
        <f>+G20/National!G20</f>
        <v>1.057336473302254E-2</v>
      </c>
    </row>
    <row r="21" spans="1:9">
      <c r="A21" s="146" t="s">
        <v>7</v>
      </c>
      <c r="B21" s="157">
        <f>443+1078</f>
        <v>1521</v>
      </c>
      <c r="C21" s="175">
        <f t="shared" ref="C21:C25" si="0">B21/B$26</f>
        <v>4.846264138919866E-2</v>
      </c>
      <c r="D21" s="78">
        <f>B21/National!B21</f>
        <v>9.5356914473436732E-3</v>
      </c>
      <c r="E21" s="51"/>
      <c r="F21" s="163" t="s">
        <v>2</v>
      </c>
      <c r="G21" s="198">
        <f>343+25</f>
        <v>368</v>
      </c>
      <c r="H21" s="86">
        <f t="shared" ref="H21:H22" si="1">G21/G$23</f>
        <v>0.62267343485617599</v>
      </c>
      <c r="I21" s="106">
        <f>+G21/National!G21</f>
        <v>2.3063424417147156E-2</v>
      </c>
    </row>
    <row r="22" spans="1:9">
      <c r="A22" s="146" t="s">
        <v>6</v>
      </c>
      <c r="B22" s="157">
        <f>841+1428</f>
        <v>2269</v>
      </c>
      <c r="C22" s="175">
        <f t="shared" si="0"/>
        <v>7.2295682650947907E-2</v>
      </c>
      <c r="D22" s="78">
        <f>B22/National!B22</f>
        <v>9.4073260225129053E-3</v>
      </c>
      <c r="E22" s="51"/>
      <c r="F22" s="163" t="s">
        <v>28</v>
      </c>
      <c r="G22" s="181">
        <v>3</v>
      </c>
      <c r="H22" s="86">
        <f t="shared" si="1"/>
        <v>5.076142131979695E-3</v>
      </c>
      <c r="I22" s="106">
        <f>+G22/National!G22</f>
        <v>6.024096385542169E-3</v>
      </c>
    </row>
    <row r="23" spans="1:9">
      <c r="A23" s="146" t="s">
        <v>30</v>
      </c>
      <c r="B23" s="157">
        <f>1534+1744+1775</f>
        <v>5053</v>
      </c>
      <c r="C23" s="175">
        <f t="shared" si="0"/>
        <v>0.16100047793531941</v>
      </c>
      <c r="D23" s="78">
        <f>B23/National!B23</f>
        <v>6.3584782436355448E-3</v>
      </c>
      <c r="E23" s="51"/>
      <c r="F23" s="9" t="s">
        <v>1</v>
      </c>
      <c r="G23" s="197">
        <f>SUM(G20:G22)</f>
        <v>591</v>
      </c>
      <c r="H23" s="132">
        <f>SUM(H20:H22)</f>
        <v>1</v>
      </c>
      <c r="I23" s="133">
        <f>+G23/National!G23</f>
        <v>1.5861088000858808E-2</v>
      </c>
    </row>
    <row r="24" spans="1:9">
      <c r="A24" s="146" t="s">
        <v>8</v>
      </c>
      <c r="B24" s="157">
        <f>9276+12491</f>
        <v>21767</v>
      </c>
      <c r="C24" s="175">
        <f t="shared" si="0"/>
        <v>0.69354787318782862</v>
      </c>
      <c r="D24" s="78">
        <f>B24/National!B24</f>
        <v>7.8037388538502797E-3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294</v>
      </c>
      <c r="C25" s="175">
        <f t="shared" si="0"/>
        <v>9.3675322606340608E-3</v>
      </c>
      <c r="D25" s="78">
        <f>B25/National!B25</f>
        <v>2.5937362152624613E-2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31385</v>
      </c>
      <c r="C26" s="176">
        <f>SUM(C20:C25)</f>
        <v>1</v>
      </c>
      <c r="D26" s="177">
        <f>B26/National!B26</f>
        <v>7.7632261776431951E-3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3120406</v>
      </c>
      <c r="H27" s="87"/>
      <c r="I27" s="113">
        <f>+G27/National!G27</f>
        <v>2.2598669320139129E-2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2746820</v>
      </c>
      <c r="H28" s="87"/>
      <c r="I28" s="114">
        <f>+G28/National!G28</f>
        <v>2.0655785275004872E-2</v>
      </c>
    </row>
    <row r="29" spans="1:9">
      <c r="A29" s="146" t="s">
        <v>91</v>
      </c>
      <c r="B29" s="149">
        <f>3098+2050</f>
        <v>5148</v>
      </c>
      <c r="C29" s="174">
        <f>B29/B$34</f>
        <v>0.1640221754922577</v>
      </c>
      <c r="D29" s="77">
        <f>B29/National!B29</f>
        <v>6.6022600043861169E-3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10383+10778</f>
        <v>21161</v>
      </c>
      <c r="C30" s="175">
        <f t="shared" ref="C30:C33" si="2">B30/B$34</f>
        <v>0.67421780411648502</v>
      </c>
      <c r="D30" s="78">
        <f>B30/National!B30</f>
        <v>1.183470671336196E-2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403+4275</f>
        <v>4678</v>
      </c>
      <c r="C31" s="175">
        <f t="shared" si="2"/>
        <v>0.14904734595042377</v>
      </c>
      <c r="D31" s="78">
        <f>B31/National!B31</f>
        <v>3.6363919032368396E-3</v>
      </c>
      <c r="E31" s="51"/>
      <c r="F31" s="163" t="s">
        <v>16</v>
      </c>
      <c r="G31" s="168">
        <v>927825</v>
      </c>
      <c r="H31" s="92">
        <f>G31/G$38</f>
        <v>0.29329983773792828</v>
      </c>
      <c r="I31" s="112">
        <f>+G31/National!G31</f>
        <v>2.1964604465725512E-2</v>
      </c>
    </row>
    <row r="32" spans="1:9">
      <c r="A32" s="146" t="s">
        <v>94</v>
      </c>
      <c r="B32" s="157">
        <f>134+125</f>
        <v>259</v>
      </c>
      <c r="C32" s="175">
        <f t="shared" si="2"/>
        <v>8.2520869177340212E-3</v>
      </c>
      <c r="D32" s="78">
        <f>B32/National!B32</f>
        <v>4.5425048669695007E-3</v>
      </c>
      <c r="E32" s="51"/>
      <c r="F32" s="163" t="s">
        <v>17</v>
      </c>
      <c r="G32" s="169">
        <v>1449640</v>
      </c>
      <c r="H32" s="106">
        <f t="shared" ref="H32:H37" si="3">G32/G$38</f>
        <v>0.45825363271997449</v>
      </c>
      <c r="I32" s="113">
        <f>+G32/National!G32</f>
        <v>2.3301527315424519E-2</v>
      </c>
    </row>
    <row r="33" spans="1:9">
      <c r="A33" s="146" t="s">
        <v>95</v>
      </c>
      <c r="B33" s="150">
        <f>33+107</f>
        <v>140</v>
      </c>
      <c r="C33" s="175">
        <f t="shared" si="2"/>
        <v>4.4605875230994711E-3</v>
      </c>
      <c r="D33" s="78">
        <f>B33/National!B33</f>
        <v>1.0643797707021866E-3</v>
      </c>
      <c r="E33" s="51"/>
      <c r="F33" s="163" t="s">
        <v>18</v>
      </c>
      <c r="G33" s="169">
        <v>294077</v>
      </c>
      <c r="H33" s="106">
        <f t="shared" si="3"/>
        <v>9.2962289637007769E-2</v>
      </c>
      <c r="I33" s="113">
        <f>+G33/National!G33</f>
        <v>9.2572157550429093E-3</v>
      </c>
    </row>
    <row r="34" spans="1:9">
      <c r="A34" s="9" t="s">
        <v>1</v>
      </c>
      <c r="B34" s="154">
        <f>SUM(B29:B33)</f>
        <v>31386</v>
      </c>
      <c r="C34" s="176">
        <f>SUM(C29:C33)</f>
        <v>1</v>
      </c>
      <c r="D34" s="180">
        <f>B34/National!B34</f>
        <v>7.7634927356702143E-3</v>
      </c>
      <c r="E34" s="51"/>
      <c r="F34" s="163" t="s">
        <v>19</v>
      </c>
      <c r="G34" s="169">
        <v>1104</v>
      </c>
      <c r="H34" s="106">
        <f t="shared" si="3"/>
        <v>3.489914810041471E-4</v>
      </c>
      <c r="I34" s="113">
        <f>+G34/National!G34</f>
        <v>1.2855212579104971E-4</v>
      </c>
    </row>
    <row r="35" spans="1:9">
      <c r="B35" s="49"/>
      <c r="C35" s="96"/>
      <c r="D35" s="96"/>
      <c r="E35" s="51"/>
      <c r="F35" s="163" t="s">
        <v>20</v>
      </c>
      <c r="G35" s="169">
        <v>229174</v>
      </c>
      <c r="H35" s="106">
        <f t="shared" si="3"/>
        <v>7.2445447162721388E-2</v>
      </c>
      <c r="I35" s="113">
        <f>+G35/National!G35</f>
        <v>1.7189695483600168E-2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73392</v>
      </c>
      <c r="H36" s="106">
        <f t="shared" si="3"/>
        <v>2.3200346715449606E-2</v>
      </c>
      <c r="I36" s="113">
        <f>+G36/National!G36</f>
        <v>4.6390234587613812E-3</v>
      </c>
    </row>
    <row r="37" spans="1:9">
      <c r="A37" s="146" t="s">
        <v>5</v>
      </c>
      <c r="B37" s="149">
        <f>899+1864</f>
        <v>2763</v>
      </c>
      <c r="C37" s="174">
        <f>B37/B$43</f>
        <v>4.0107999825806734E-2</v>
      </c>
      <c r="D37" s="77">
        <f>B37/National!B37</f>
        <v>1.2936120006741951E-2</v>
      </c>
      <c r="E37" s="51"/>
      <c r="F37" s="163" t="s">
        <v>22</v>
      </c>
      <c r="G37" s="170">
        <v>188189</v>
      </c>
      <c r="H37" s="106">
        <f t="shared" si="3"/>
        <v>5.9489454545914353E-2</v>
      </c>
      <c r="I37" s="114">
        <f>+G37/National!G37</f>
        <v>7.335039563782072E-3</v>
      </c>
    </row>
    <row r="38" spans="1:9">
      <c r="A38" s="146" t="s">
        <v>7</v>
      </c>
      <c r="B38" s="157">
        <f>1491+3975</f>
        <v>5466</v>
      </c>
      <c r="C38" s="175">
        <f t="shared" ref="C38:C42" si="4">B38/B$43</f>
        <v>7.9345033314462396E-2</v>
      </c>
      <c r="D38" s="78">
        <f>B38/National!B38</f>
        <v>1.1446688920627076E-2</v>
      </c>
      <c r="E38" s="51"/>
      <c r="F38" s="47" t="s">
        <v>1</v>
      </c>
      <c r="G38" s="187">
        <f>SUM(G31:G37)</f>
        <v>3163401</v>
      </c>
      <c r="H38" s="188">
        <f>SUM(H31:H37)</f>
        <v>1</v>
      </c>
      <c r="I38" s="188">
        <f>+G38/National!G39</f>
        <v>1.5716434201646756E-2</v>
      </c>
    </row>
    <row r="39" spans="1:9">
      <c r="A39" s="146" t="s">
        <v>6</v>
      </c>
      <c r="B39" s="157">
        <f>1720+3690</f>
        <v>5410</v>
      </c>
      <c r="C39" s="175">
        <f t="shared" si="4"/>
        <v>7.8532131399788069E-2</v>
      </c>
      <c r="D39" s="78">
        <f>B39/National!B39</f>
        <v>9.7885775803577078E-3</v>
      </c>
      <c r="E39" s="51"/>
      <c r="H39" s="87"/>
      <c r="I39" s="87"/>
    </row>
    <row r="40" spans="1:9" ht="23.25">
      <c r="A40" s="146" t="s">
        <v>30</v>
      </c>
      <c r="B40" s="157">
        <f>3086+3550+3762</f>
        <v>10398</v>
      </c>
      <c r="C40" s="175">
        <f t="shared" si="4"/>
        <v>0.15093846622828028</v>
      </c>
      <c r="D40" s="78">
        <f>B40/National!B40</f>
        <v>6.4632264913966611E-3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18551+24984</f>
        <v>43535</v>
      </c>
      <c r="C41" s="175">
        <f t="shared" si="4"/>
        <v>0.63195865813119656</v>
      </c>
      <c r="D41" s="78">
        <f>B41/National!B41</f>
        <v>7.8039237056439208E-3</v>
      </c>
      <c r="E41" s="51"/>
      <c r="F41" s="163" t="s">
        <v>38</v>
      </c>
      <c r="G41" s="168">
        <v>1579691</v>
      </c>
      <c r="H41" s="189">
        <f>G41/G$47</f>
        <v>0.54504298573605725</v>
      </c>
      <c r="I41" s="113">
        <f>+G41/National!G42</f>
        <v>1.741897851802187E-2</v>
      </c>
    </row>
    <row r="42" spans="1:9">
      <c r="A42" s="156" t="s">
        <v>29</v>
      </c>
      <c r="B42" s="150">
        <v>1317</v>
      </c>
      <c r="C42" s="175">
        <f t="shared" si="4"/>
        <v>1.9117711100465968E-2</v>
      </c>
      <c r="D42" s="78">
        <f>B42/National!B42</f>
        <v>2.4952633573323228E-2</v>
      </c>
      <c r="E42" s="51"/>
      <c r="F42" s="163" t="s">
        <v>39</v>
      </c>
      <c r="G42" s="169">
        <v>652008</v>
      </c>
      <c r="H42" s="86">
        <f t="shared" ref="H42:H46" si="5">G42/G$47</f>
        <v>0.22496322827932499</v>
      </c>
      <c r="I42" s="113">
        <f>+G42/National!G43</f>
        <v>1.4640134308560891E-2</v>
      </c>
    </row>
    <row r="43" spans="1:9">
      <c r="A43" s="9" t="s">
        <v>1</v>
      </c>
      <c r="B43" s="154">
        <f>SUM(B37:B42)</f>
        <v>68889</v>
      </c>
      <c r="C43" s="178">
        <f>SUM(C37:C42)</f>
        <v>1</v>
      </c>
      <c r="D43" s="179">
        <f>B43/National!B43</f>
        <v>8.1199023711661378E-3</v>
      </c>
      <c r="E43" s="51"/>
      <c r="F43" s="163" t="s">
        <v>40</v>
      </c>
      <c r="G43" s="169">
        <v>162020</v>
      </c>
      <c r="H43" s="86">
        <f t="shared" si="5"/>
        <v>5.5901986242218246E-2</v>
      </c>
      <c r="I43" s="113">
        <f>+G43/National!G44</f>
        <v>1.236701848526541E-2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265250</v>
      </c>
      <c r="H44" s="86">
        <f t="shared" si="5"/>
        <v>9.1519576908705033E-2</v>
      </c>
      <c r="I44" s="113">
        <f>+G44/National!G45</f>
        <v>1.8016628957969804E-2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93669</v>
      </c>
      <c r="H45" s="86">
        <f t="shared" si="5"/>
        <v>3.2318745521061232E-2</v>
      </c>
      <c r="I45" s="113">
        <f>+G45/National!G46</f>
        <v>1.1259842850969273E-2</v>
      </c>
    </row>
    <row r="46" spans="1:9">
      <c r="A46" s="8" t="s">
        <v>3</v>
      </c>
      <c r="B46" s="52">
        <v>13944</v>
      </c>
      <c r="C46" s="93">
        <f>B46/B$48</f>
        <v>0.25342129654871598</v>
      </c>
      <c r="D46" s="77">
        <f>B46/National!B48</f>
        <v>1.4078904058690372E-2</v>
      </c>
      <c r="E46" s="51"/>
      <c r="F46" s="163" t="s">
        <v>43</v>
      </c>
      <c r="G46" s="170">
        <v>145649</v>
      </c>
      <c r="H46" s="86">
        <f t="shared" si="5"/>
        <v>5.0253477312633292E-2</v>
      </c>
      <c r="I46" s="113">
        <f>+G46/National!G47</f>
        <v>1.828377849273094E-2</v>
      </c>
    </row>
    <row r="47" spans="1:9">
      <c r="A47" s="8" t="s">
        <v>2</v>
      </c>
      <c r="B47" s="52">
        <v>41079</v>
      </c>
      <c r="C47" s="97">
        <f>B47/B$48</f>
        <v>0.74657870345128396</v>
      </c>
      <c r="D47" s="78">
        <f>B47/National!B49</f>
        <v>2.0714631855018251E-2</v>
      </c>
      <c r="E47" s="51"/>
      <c r="F47" s="9" t="s">
        <v>1</v>
      </c>
      <c r="G47" s="191">
        <f>SUM(G41:G46)</f>
        <v>2898287</v>
      </c>
      <c r="H47" s="182">
        <f>SUM(H41:H46)</f>
        <v>1</v>
      </c>
      <c r="I47" s="188">
        <f>+G47/National!G49</f>
        <v>1.5975618527042577E-2</v>
      </c>
    </row>
    <row r="48" spans="1:9">
      <c r="A48" s="9" t="s">
        <v>1</v>
      </c>
      <c r="B48" s="155">
        <f>SUM(B46:B47)</f>
        <v>55023</v>
      </c>
      <c r="C48" s="165">
        <f>SUM(C46:C47)</f>
        <v>1</v>
      </c>
      <c r="D48" s="177">
        <f>B48/National!B50</f>
        <v>1.85044000203127E-2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556367</v>
      </c>
      <c r="H50" s="189">
        <f>G50/G$52</f>
        <v>0.85711490704280902</v>
      </c>
      <c r="I50" s="113">
        <f>+G50/National!G52</f>
        <v>1.7751652415047531E-2</v>
      </c>
    </row>
    <row r="51" spans="1:9">
      <c r="A51" s="146" t="s">
        <v>5</v>
      </c>
      <c r="B51" s="149">
        <f>3484+13226</f>
        <v>16710</v>
      </c>
      <c r="C51" s="174">
        <f>B51/B$57</f>
        <v>0.30369118368682185</v>
      </c>
      <c r="D51" s="77">
        <f>B51/National!B53</f>
        <v>2.3228303221797628E-2</v>
      </c>
      <c r="E51" s="51"/>
      <c r="F51" s="163" t="s">
        <v>97</v>
      </c>
      <c r="G51" s="194">
        <v>92749</v>
      </c>
      <c r="H51" s="86">
        <f>G51/G$52</f>
        <v>0.14288509295719101</v>
      </c>
      <c r="I51" s="113">
        <f>+G51/National!G53</f>
        <v>1.8392248322420483E-2</v>
      </c>
    </row>
    <row r="52" spans="1:9">
      <c r="A52" s="146" t="s">
        <v>7</v>
      </c>
      <c r="B52" s="157">
        <f>3429+9942</f>
        <v>13371</v>
      </c>
      <c r="C52" s="175">
        <f t="shared" ref="C52:C56" si="6">B52/B$57</f>
        <v>0.2430074696036203</v>
      </c>
      <c r="D52" s="78">
        <f>B52/National!B54</f>
        <v>1.9523498723109742E-2</v>
      </c>
      <c r="E52" s="51"/>
      <c r="F52" s="60" t="s">
        <v>1</v>
      </c>
      <c r="G52" s="190">
        <f>SUM(G50:G51)</f>
        <v>649116</v>
      </c>
      <c r="H52" s="185">
        <f>SUM(H50:H51)</f>
        <v>1</v>
      </c>
      <c r="I52" s="192">
        <f>+G52/National!G54</f>
        <v>1.7840437858581283E-2</v>
      </c>
    </row>
    <row r="53" spans="1:9">
      <c r="A53" s="146" t="s">
        <v>6</v>
      </c>
      <c r="B53" s="157">
        <f>2088+6063</f>
        <v>8151</v>
      </c>
      <c r="C53" s="175">
        <f t="shared" si="6"/>
        <v>0.14813805136034022</v>
      </c>
      <c r="D53" s="78">
        <f>B53/National!B55</f>
        <v>1.5408084565828872E-2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2057+1252+3316</f>
        <v>6625</v>
      </c>
      <c r="C54" s="175">
        <f t="shared" si="6"/>
        <v>0.12040419460952692</v>
      </c>
      <c r="D54" s="78">
        <f>B54/National!B56</f>
        <v>1.5904567791869825E-2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1634+2966</f>
        <v>4600</v>
      </c>
      <c r="C55" s="175">
        <f t="shared" si="6"/>
        <v>8.3601403049633788E-2</v>
      </c>
      <c r="D55" s="78">
        <f>B55/National!B57</f>
        <v>1.1468976418787181E-2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5566</v>
      </c>
      <c r="C56" s="175">
        <f t="shared" si="6"/>
        <v>0.10115769769005689</v>
      </c>
      <c r="D56" s="78">
        <f>B56/National!B58</f>
        <v>2.5001796751473335E-2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55023</v>
      </c>
      <c r="C57" s="178">
        <f>SUM(C51:C56)</f>
        <v>0.99999999999999989</v>
      </c>
      <c r="D57" s="177">
        <f>B57/National!B59</f>
        <v>1.85044000203127E-2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61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209</v>
      </c>
      <c r="B4" s="50">
        <v>6497967</v>
      </c>
      <c r="C4" s="99"/>
      <c r="D4" s="77">
        <f>B4/National!B4</f>
        <v>2.1370692949783773E-2</v>
      </c>
      <c r="E4" s="1"/>
      <c r="F4" s="146" t="s">
        <v>10</v>
      </c>
      <c r="G4" s="195">
        <v>2320723</v>
      </c>
      <c r="H4" s="189">
        <f>G4/G$6</f>
        <v>0.49651138261442196</v>
      </c>
      <c r="I4" s="112">
        <f>+G4/National!G4</f>
        <v>2.2396874787259786E-2</v>
      </c>
    </row>
    <row r="5" spans="1:9">
      <c r="A5" s="8" t="s">
        <v>167</v>
      </c>
      <c r="B5" s="50">
        <f>3989+3851</f>
        <v>7840</v>
      </c>
      <c r="C5" s="100"/>
      <c r="D5" s="79">
        <f>B5/National!B5</f>
        <v>2.2162913812555462E-3</v>
      </c>
      <c r="E5" s="1"/>
      <c r="F5" s="146" t="s">
        <v>11</v>
      </c>
      <c r="G5" s="196">
        <v>2353335</v>
      </c>
      <c r="H5" s="86">
        <f>G5/G$6</f>
        <v>0.50348861738557804</v>
      </c>
      <c r="I5" s="113">
        <f>+G5/National!G5</f>
        <v>2.247641050654035E-2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4674058</v>
      </c>
      <c r="H6" s="182">
        <f>SUM(H4:H5)</f>
        <v>1</v>
      </c>
      <c r="I6" s="183">
        <f>+G6/National!G6</f>
        <v>2.2436849632552665E-2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2807736</v>
      </c>
      <c r="C8" s="174">
        <f>B8/B10</f>
        <v>0.88085365505501623</v>
      </c>
      <c r="D8" s="77">
        <f>B8/National!B8</f>
        <v>2.0553514411546122E-2</v>
      </c>
      <c r="E8" s="1"/>
      <c r="F8" s="146" t="s">
        <v>32</v>
      </c>
      <c r="G8" s="206">
        <f>21/100</f>
        <v>0.21</v>
      </c>
      <c r="H8" s="87"/>
      <c r="I8" s="87"/>
    </row>
    <row r="9" spans="1:9">
      <c r="A9" s="146" t="s">
        <v>169</v>
      </c>
      <c r="B9" s="150">
        <v>379781</v>
      </c>
      <c r="C9" s="175">
        <f>B9/B10</f>
        <v>0.11914634494498383</v>
      </c>
      <c r="D9" s="78">
        <f>B9/National!B9</f>
        <v>9.8489858136129593E-3</v>
      </c>
      <c r="E9" s="1"/>
      <c r="F9" s="146" t="s">
        <v>31</v>
      </c>
      <c r="G9" s="207">
        <f>21/100</f>
        <v>0.21</v>
      </c>
      <c r="H9" s="87"/>
      <c r="I9" s="87"/>
    </row>
    <row r="10" spans="1:9">
      <c r="A10" s="9" t="s">
        <v>9</v>
      </c>
      <c r="B10" s="152">
        <f>SUM(B8:B9)</f>
        <v>3187517</v>
      </c>
      <c r="C10" s="176">
        <f>SUM(C8:C9)</f>
        <v>1</v>
      </c>
      <c r="D10" s="165"/>
      <c r="E10" s="1"/>
      <c r="F10" s="146" t="s">
        <v>33</v>
      </c>
      <c r="G10" s="205">
        <f>21/100</f>
        <v>0.21</v>
      </c>
      <c r="H10" s="87"/>
      <c r="I10" s="87"/>
    </row>
    <row r="11" spans="1:9">
      <c r="A11" s="146" t="s">
        <v>170</v>
      </c>
      <c r="B11" s="149">
        <v>52177</v>
      </c>
      <c r="C11" s="93">
        <f>B11/(B12+B11)</f>
        <v>1.8583299854402265E-2</v>
      </c>
      <c r="D11" s="77">
        <f>B11/National!B11</f>
        <v>1.3834930089547743E-2</v>
      </c>
      <c r="E11" s="1"/>
      <c r="G11" s="49"/>
      <c r="H11" s="87"/>
      <c r="I11" s="86"/>
    </row>
    <row r="12" spans="1:9" ht="23.25">
      <c r="A12" s="146" t="s">
        <v>171</v>
      </c>
      <c r="B12" s="150">
        <v>2755559</v>
      </c>
      <c r="C12" s="95">
        <f>B12/(B11+B12)</f>
        <v>0.98141670014559779</v>
      </c>
      <c r="D12" s="79">
        <f>B12/National!B12</f>
        <v>2.0843095012388575E-2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3236056</v>
      </c>
      <c r="H13" s="189">
        <f>G13/G$18</f>
        <v>0.59032801858807871</v>
      </c>
      <c r="I13" s="92">
        <f>+G13/National!G13</f>
        <v>2.3607088607476737E-2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2081052</v>
      </c>
      <c r="H14" s="86">
        <f>G14/G$18</f>
        <v>0.37962980360622883</v>
      </c>
      <c r="I14" s="106">
        <f>+G14/National!G14</f>
        <v>1.8877195590444467E-2</v>
      </c>
    </row>
    <row r="15" spans="1:9">
      <c r="A15" s="146" t="s">
        <v>3</v>
      </c>
      <c r="B15" s="149">
        <v>7978</v>
      </c>
      <c r="C15" s="174">
        <f>B15/B$17</f>
        <v>0.22097274540217152</v>
      </c>
      <c r="D15" s="77">
        <f>B15/National!B15</f>
        <v>2.6796738442605001E-3</v>
      </c>
      <c r="E15" s="3"/>
      <c r="F15" s="146" t="s">
        <v>13</v>
      </c>
      <c r="G15" s="150">
        <v>11241</v>
      </c>
      <c r="H15" s="86">
        <f>G15/G$18</f>
        <v>2.0506064347924121E-3</v>
      </c>
      <c r="I15" s="106">
        <f>+G15/National!G15</f>
        <v>1.3329649428204167E-2</v>
      </c>
    </row>
    <row r="16" spans="1:9">
      <c r="A16" s="146" t="s">
        <v>2</v>
      </c>
      <c r="B16" s="150">
        <v>28126</v>
      </c>
      <c r="C16" s="175">
        <f>B16/B$17</f>
        <v>0.77902725459782851</v>
      </c>
      <c r="D16" s="78">
        <f>B16/National!B16</f>
        <v>2.6396005781106294E-2</v>
      </c>
      <c r="E16" s="1"/>
      <c r="F16" s="9" t="s">
        <v>1</v>
      </c>
      <c r="G16" s="162">
        <v>5328349</v>
      </c>
      <c r="H16" s="105"/>
      <c r="I16" s="106"/>
    </row>
    <row r="17" spans="1:9">
      <c r="A17" s="9" t="s">
        <v>1</v>
      </c>
      <c r="B17" s="154">
        <f>SUM(B15:B16)</f>
        <v>36104</v>
      </c>
      <c r="C17" s="176">
        <f>SUM(C15:C16)</f>
        <v>1</v>
      </c>
      <c r="D17" s="177">
        <f>B17/National!B17</f>
        <v>8.930514934322226E-3</v>
      </c>
      <c r="E17" s="1"/>
      <c r="F17" s="108" t="s">
        <v>35</v>
      </c>
      <c r="G17" s="117">
        <v>153444</v>
      </c>
      <c r="H17" s="105">
        <f>G17/G$18</f>
        <v>2.7991571370899995E-2</v>
      </c>
      <c r="I17" s="106">
        <f>+G17/National!G17</f>
        <v>1.9911077246322049E-2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5481793</v>
      </c>
      <c r="H18" s="185">
        <f>SUM(H13:H17)</f>
        <v>0.99999999999999989</v>
      </c>
      <c r="I18" s="186">
        <f>+G18/National!G18</f>
        <v>2.1424032705329613E-2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91+482</f>
        <v>573</v>
      </c>
      <c r="C20" s="174">
        <f>B20/B$26</f>
        <v>1.5870817637934857E-2</v>
      </c>
      <c r="D20" s="77">
        <f>B20/National!B20</f>
        <v>1.2256422322517165E-2</v>
      </c>
      <c r="E20" s="51"/>
      <c r="F20" s="163" t="s">
        <v>3</v>
      </c>
      <c r="G20" s="108">
        <f>19+17</f>
        <v>36</v>
      </c>
      <c r="H20" s="189">
        <f>G20/G$23</f>
        <v>9.9173553719008267E-2</v>
      </c>
      <c r="I20" s="92">
        <f>+G20/National!G20</f>
        <v>1.7301869563127793E-3</v>
      </c>
    </row>
    <row r="21" spans="1:9">
      <c r="A21" s="146" t="s">
        <v>7</v>
      </c>
      <c r="B21" s="157">
        <f>167+1845</f>
        <v>2012</v>
      </c>
      <c r="C21" s="175">
        <f t="shared" ref="C21:C25" si="0">B21/B$26</f>
        <v>5.5727897185907378E-2</v>
      </c>
      <c r="D21" s="78">
        <f>B21/National!B21</f>
        <v>1.2613945556906951E-2</v>
      </c>
      <c r="E21" s="51"/>
      <c r="F21" s="163" t="s">
        <v>2</v>
      </c>
      <c r="G21" s="198">
        <f>175+152</f>
        <v>327</v>
      </c>
      <c r="H21" s="86">
        <f t="shared" ref="H21:H22" si="1">G21/G$23</f>
        <v>0.90082644628099173</v>
      </c>
      <c r="I21" s="106">
        <f>+G21/National!G21</f>
        <v>2.0493858109801956E-2</v>
      </c>
    </row>
    <row r="22" spans="1:9">
      <c r="A22" s="146" t="s">
        <v>6</v>
      </c>
      <c r="B22" s="157">
        <f>394+3759</f>
        <v>4153</v>
      </c>
      <c r="C22" s="175">
        <f t="shared" si="0"/>
        <v>0.11502880567250166</v>
      </c>
      <c r="D22" s="78">
        <f>B22/National!B22</f>
        <v>1.7218433217935696E-2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2916+1143+775</f>
        <v>4834</v>
      </c>
      <c r="C23" s="175">
        <f t="shared" si="0"/>
        <v>0.13389098160868601</v>
      </c>
      <c r="D23" s="78">
        <f>B23/National!B23</f>
        <v>6.0828980466523302E-3</v>
      </c>
      <c r="E23" s="51"/>
      <c r="F23" s="9" t="s">
        <v>1</v>
      </c>
      <c r="G23" s="197">
        <f>SUM(G20:G22)</f>
        <v>363</v>
      </c>
      <c r="H23" s="132">
        <f>SUM(H20:H22)</f>
        <v>1</v>
      </c>
      <c r="I23" s="133">
        <f>+G23/National!G23</f>
        <v>9.7420895842838355E-3</v>
      </c>
    </row>
    <row r="24" spans="1:9">
      <c r="A24" s="146" t="s">
        <v>8</v>
      </c>
      <c r="B24" s="157">
        <f>18811+5407</f>
        <v>24218</v>
      </c>
      <c r="C24" s="175">
        <f t="shared" si="0"/>
        <v>0.67078440062042988</v>
      </c>
      <c r="D24" s="78">
        <f>B24/National!B24</f>
        <v>8.6824526835368246E-3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314</v>
      </c>
      <c r="C25" s="175">
        <f t="shared" si="0"/>
        <v>8.6970972745402178E-3</v>
      </c>
      <c r="D25" s="78">
        <f>B25/National!B25</f>
        <v>2.7701808557565065E-2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36104</v>
      </c>
      <c r="C26" s="176">
        <f>SUM(C20:C25)</f>
        <v>1</v>
      </c>
      <c r="D26" s="177">
        <f>B26/National!B26</f>
        <v>8.930492844276881E-3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2766980</v>
      </c>
      <c r="H27" s="87"/>
      <c r="I27" s="113">
        <f>+G27/National!G27</f>
        <v>2.0039080182334787E-2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2897991</v>
      </c>
      <c r="H28" s="87"/>
      <c r="I28" s="114">
        <f>+G28/National!G28</f>
        <v>2.1792574622616932E-2</v>
      </c>
    </row>
    <row r="29" spans="1:9">
      <c r="A29" s="146" t="s">
        <v>91</v>
      </c>
      <c r="B29" s="149">
        <f>708+2126</f>
        <v>2834</v>
      </c>
      <c r="C29" s="174">
        <f>B29/B$34</f>
        <v>7.8493283478742557E-2</v>
      </c>
      <c r="D29" s="77">
        <f>B29/National!B29</f>
        <v>3.6345774771620542E-3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v>4</v>
      </c>
      <c r="C30" s="175">
        <f t="shared" ref="C30:C33" si="2">B30/B$34</f>
        <v>1.1078797950422379E-4</v>
      </c>
      <c r="D30" s="78">
        <f>B30/National!B30</f>
        <v>2.2370789118400758E-6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25561+6831</f>
        <v>32392</v>
      </c>
      <c r="C31" s="175">
        <f t="shared" si="2"/>
        <v>0.89716105802520429</v>
      </c>
      <c r="D31" s="78">
        <f>B31/National!B31</f>
        <v>2.517956531202388E-2</v>
      </c>
      <c r="E31" s="51"/>
      <c r="F31" s="163" t="s">
        <v>16</v>
      </c>
      <c r="G31" s="168">
        <v>815832</v>
      </c>
      <c r="H31" s="92">
        <f>G31/G$38</f>
        <v>0.18815799670102179</v>
      </c>
      <c r="I31" s="112">
        <f>+G31/National!G31</f>
        <v>1.9313369644579286E-2</v>
      </c>
    </row>
    <row r="32" spans="1:9">
      <c r="A32" s="146" t="s">
        <v>94</v>
      </c>
      <c r="B32" s="157">
        <f>413+358</f>
        <v>771</v>
      </c>
      <c r="C32" s="175">
        <f t="shared" si="2"/>
        <v>2.1354383049439134E-2</v>
      </c>
      <c r="D32" s="78">
        <f>B32/National!B32</f>
        <v>1.3522282827928512E-2</v>
      </c>
      <c r="E32" s="51"/>
      <c r="F32" s="163" t="s">
        <v>17</v>
      </c>
      <c r="G32" s="169">
        <v>695027</v>
      </c>
      <c r="H32" s="106">
        <f t="shared" ref="H32:H37" si="3">G32/G$38</f>
        <v>0.16029634529305184</v>
      </c>
      <c r="I32" s="113">
        <f>+G32/National!G32</f>
        <v>1.1171870688900387E-2</v>
      </c>
    </row>
    <row r="33" spans="1:9">
      <c r="A33" s="146" t="s">
        <v>95</v>
      </c>
      <c r="B33" s="150">
        <f>27+77</f>
        <v>104</v>
      </c>
      <c r="C33" s="175">
        <f t="shared" si="2"/>
        <v>2.8804874671098184E-3</v>
      </c>
      <c r="D33" s="78">
        <f>B33/National!B33</f>
        <v>7.906821153787671E-4</v>
      </c>
      <c r="E33" s="51"/>
      <c r="F33" s="163" t="s">
        <v>18</v>
      </c>
      <c r="G33" s="169">
        <v>305382</v>
      </c>
      <c r="H33" s="106">
        <f t="shared" si="3"/>
        <v>7.043124730159081E-2</v>
      </c>
      <c r="I33" s="113">
        <f>+G33/National!G33</f>
        <v>9.6130845380853099E-3</v>
      </c>
    </row>
    <row r="34" spans="1:9">
      <c r="A34" s="9" t="s">
        <v>1</v>
      </c>
      <c r="B34" s="154">
        <f>SUM(B29:B33)</f>
        <v>36105</v>
      </c>
      <c r="C34" s="176">
        <f>SUM(C29:C33)</f>
        <v>1</v>
      </c>
      <c r="D34" s="180">
        <f>B34/National!B34</f>
        <v>8.9307622895996013E-3</v>
      </c>
      <c r="E34" s="51"/>
      <c r="F34" s="163" t="s">
        <v>19</v>
      </c>
      <c r="G34" s="169">
        <v>726073</v>
      </c>
      <c r="H34" s="106">
        <f t="shared" si="3"/>
        <v>0.16745658559446186</v>
      </c>
      <c r="I34" s="113">
        <f>+G34/National!G34</f>
        <v>8.4545496041200027E-2</v>
      </c>
    </row>
    <row r="35" spans="1:9">
      <c r="B35" s="49"/>
      <c r="C35" s="96"/>
      <c r="D35" s="96"/>
      <c r="E35" s="51"/>
      <c r="F35" s="163" t="s">
        <v>20</v>
      </c>
      <c r="G35" s="169">
        <v>877565</v>
      </c>
      <c r="H35" s="106">
        <f t="shared" si="3"/>
        <v>0.20239567996221305</v>
      </c>
      <c r="I35" s="113">
        <f>+G35/National!G35</f>
        <v>6.5823675971382362E-2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97856</v>
      </c>
      <c r="H36" s="106">
        <f t="shared" si="3"/>
        <v>2.2568848641846839E-2</v>
      </c>
      <c r="I36" s="113">
        <f>+G36/National!G36</f>
        <v>6.1853646116818411E-3</v>
      </c>
    </row>
    <row r="37" spans="1:9">
      <c r="A37" s="146" t="s">
        <v>5</v>
      </c>
      <c r="B37" s="149">
        <f>417+2795</f>
        <v>3212</v>
      </c>
      <c r="C37" s="174">
        <f>B37/B$43</f>
        <v>4.2152230971128607E-2</v>
      </c>
      <c r="D37" s="77">
        <f>B37/National!B37</f>
        <v>1.5038298031724628E-2</v>
      </c>
      <c r="E37" s="51"/>
      <c r="F37" s="163" t="s">
        <v>22</v>
      </c>
      <c r="G37" s="170">
        <v>818153</v>
      </c>
      <c r="H37" s="106">
        <f t="shared" si="3"/>
        <v>0.18869329650581379</v>
      </c>
      <c r="I37" s="114">
        <f>+G37/National!G37</f>
        <v>3.1889136050603353E-2</v>
      </c>
    </row>
    <row r="38" spans="1:9">
      <c r="A38" s="146" t="s">
        <v>7</v>
      </c>
      <c r="B38" s="157">
        <f>390+4501</f>
        <v>4891</v>
      </c>
      <c r="C38" s="175">
        <f t="shared" ref="C38:C42" si="4">B38/B$43</f>
        <v>6.4186351706036746E-2</v>
      </c>
      <c r="D38" s="78">
        <f>B38/National!B38</f>
        <v>1.0242545830733082E-2</v>
      </c>
      <c r="E38" s="51"/>
      <c r="F38" s="47" t="s">
        <v>1</v>
      </c>
      <c r="G38" s="187">
        <f>SUM(G31:G37)</f>
        <v>4335888</v>
      </c>
      <c r="H38" s="188">
        <f>SUM(H31:H37)</f>
        <v>1</v>
      </c>
      <c r="I38" s="188">
        <f>+G38/National!G39</f>
        <v>2.1541593512080747E-2</v>
      </c>
    </row>
    <row r="39" spans="1:9">
      <c r="A39" s="146" t="s">
        <v>6</v>
      </c>
      <c r="B39" s="157">
        <f>809+7825</f>
        <v>8634</v>
      </c>
      <c r="C39" s="175">
        <f t="shared" si="4"/>
        <v>0.11330708661417323</v>
      </c>
      <c r="D39" s="78">
        <f>B39/National!B39</f>
        <v>1.5621918452644816E-2</v>
      </c>
      <c r="E39" s="51"/>
      <c r="H39" s="87"/>
      <c r="I39" s="87"/>
    </row>
    <row r="40" spans="1:9" ht="23.25">
      <c r="A40" s="146" t="s">
        <v>30</v>
      </c>
      <c r="B40" s="157">
        <f>2290+1551+5854</f>
        <v>9695</v>
      </c>
      <c r="C40" s="175">
        <f t="shared" si="4"/>
        <v>0.12723097112860893</v>
      </c>
      <c r="D40" s="78">
        <f>B40/National!B40</f>
        <v>6.026253205817525E-3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10815+37622</f>
        <v>48437</v>
      </c>
      <c r="C41" s="175">
        <f t="shared" si="4"/>
        <v>0.6356561679790026</v>
      </c>
      <c r="D41" s="78">
        <f>B41/National!B41</f>
        <v>8.682638165390482E-3</v>
      </c>
      <c r="E41" s="51"/>
      <c r="F41" s="163" t="s">
        <v>38</v>
      </c>
      <c r="G41" s="168">
        <v>1258600</v>
      </c>
      <c r="H41" s="189">
        <f>G41/G$47</f>
        <v>0.33673456829429732</v>
      </c>
      <c r="I41" s="113">
        <f>+G41/National!G42</f>
        <v>1.3878363783032458E-2</v>
      </c>
    </row>
    <row r="42" spans="1:9">
      <c r="A42" s="156" t="s">
        <v>29</v>
      </c>
      <c r="B42" s="150">
        <v>1331</v>
      </c>
      <c r="C42" s="175">
        <f t="shared" si="4"/>
        <v>1.746719160104987E-2</v>
      </c>
      <c r="D42" s="78">
        <f>B42/National!B42</f>
        <v>2.5217885562713149E-2</v>
      </c>
      <c r="E42" s="51"/>
      <c r="F42" s="163" t="s">
        <v>39</v>
      </c>
      <c r="G42" s="169">
        <v>720662</v>
      </c>
      <c r="H42" s="86">
        <f t="shared" ref="H42:H46" si="5">G42/G$47</f>
        <v>0.19281090692523828</v>
      </c>
      <c r="I42" s="113">
        <f>+G42/National!G43</f>
        <v>1.6181685609802501E-2</v>
      </c>
    </row>
    <row r="43" spans="1:9">
      <c r="A43" s="9" t="s">
        <v>1</v>
      </c>
      <c r="B43" s="154">
        <f>SUM(B37:B42)</f>
        <v>76200</v>
      </c>
      <c r="C43" s="178">
        <f>SUM(C37:C42)</f>
        <v>1</v>
      </c>
      <c r="D43" s="179">
        <f>B43/National!B43</f>
        <v>8.9816452653233413E-3</v>
      </c>
      <c r="E43" s="51"/>
      <c r="F43" s="163" t="s">
        <v>40</v>
      </c>
      <c r="G43" s="169">
        <v>397157</v>
      </c>
      <c r="H43" s="86">
        <f t="shared" si="5"/>
        <v>0.10625813677106169</v>
      </c>
      <c r="I43" s="113">
        <f>+G43/National!G44</f>
        <v>3.0315071969834306E-2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454722</v>
      </c>
      <c r="H44" s="86">
        <f t="shared" si="5"/>
        <v>0.12165947589696446</v>
      </c>
      <c r="I44" s="113">
        <f>+G44/National!G45</f>
        <v>3.0886173621209972E-2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511140</v>
      </c>
      <c r="H45" s="86">
        <f t="shared" si="5"/>
        <v>0.13675393869215569</v>
      </c>
      <c r="I45" s="113">
        <f>+G45/National!G46</f>
        <v>6.1443552027292216E-2</v>
      </c>
    </row>
    <row r="46" spans="1:9">
      <c r="A46" s="8" t="s">
        <v>3</v>
      </c>
      <c r="B46" s="52">
        <v>4132</v>
      </c>
      <c r="C46" s="93">
        <f>B46/B$48</f>
        <v>7.5809558756077422E-2</v>
      </c>
      <c r="D46" s="77">
        <f>B46/National!B48</f>
        <v>4.171975872813297E-3</v>
      </c>
      <c r="E46" s="51"/>
      <c r="F46" s="163" t="s">
        <v>43</v>
      </c>
      <c r="G46" s="170">
        <v>395381</v>
      </c>
      <c r="H46" s="86">
        <f t="shared" si="5"/>
        <v>0.10578297342028252</v>
      </c>
      <c r="I46" s="113">
        <f>+G46/National!G47</f>
        <v>4.9633424357424023E-2</v>
      </c>
    </row>
    <row r="47" spans="1:9">
      <c r="A47" s="8" t="s">
        <v>2</v>
      </c>
      <c r="B47" s="52">
        <v>50373</v>
      </c>
      <c r="C47" s="97">
        <f>B47/B$48</f>
        <v>0.92419044124392258</v>
      </c>
      <c r="D47" s="78">
        <f>B47/National!B49</f>
        <v>2.5401254909633495E-2</v>
      </c>
      <c r="E47" s="51"/>
      <c r="F47" s="9" t="s">
        <v>1</v>
      </c>
      <c r="G47" s="191">
        <f>SUM(G41:G46)</f>
        <v>3737662</v>
      </c>
      <c r="H47" s="182">
        <f>SUM(H41:H46)</f>
        <v>1</v>
      </c>
      <c r="I47" s="188">
        <f>+G47/National!G49</f>
        <v>2.060232899468652E-2</v>
      </c>
    </row>
    <row r="48" spans="1:9">
      <c r="A48" s="9" t="s">
        <v>1</v>
      </c>
      <c r="B48" s="155">
        <f>SUM(B46:B47)</f>
        <v>54505</v>
      </c>
      <c r="C48" s="165">
        <f>SUM(C46:C47)</f>
        <v>1</v>
      </c>
      <c r="D48" s="177">
        <f>B48/National!B50</f>
        <v>1.833019506582963E-2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540595</v>
      </c>
      <c r="H50" s="189">
        <f>G50/G$52</f>
        <v>0.85248525562178701</v>
      </c>
      <c r="I50" s="113">
        <f>+G50/National!G52</f>
        <v>1.7248425117436187E-2</v>
      </c>
    </row>
    <row r="51" spans="1:9">
      <c r="A51" s="146" t="s">
        <v>5</v>
      </c>
      <c r="B51" s="149">
        <f>1257+15061</f>
        <v>16318</v>
      </c>
      <c r="C51" s="174">
        <f>B51/B$57</f>
        <v>0.29938537748830385</v>
      </c>
      <c r="D51" s="77">
        <f>B51/National!B53</f>
        <v>2.268339030360824E-2</v>
      </c>
      <c r="E51" s="51"/>
      <c r="F51" s="163" t="s">
        <v>97</v>
      </c>
      <c r="G51" s="194">
        <v>93545</v>
      </c>
      <c r="H51" s="86">
        <f>G51/G$52</f>
        <v>0.14751474437821302</v>
      </c>
      <c r="I51" s="113">
        <f>+G51/National!G53</f>
        <v>1.8550096166220918E-2</v>
      </c>
    </row>
    <row r="52" spans="1:9">
      <c r="A52" s="146" t="s">
        <v>7</v>
      </c>
      <c r="B52" s="157">
        <f>795+10882</f>
        <v>11677</v>
      </c>
      <c r="C52" s="175">
        <f t="shared" ref="C52:C56" si="6">B52/B$57</f>
        <v>0.21423722594257408</v>
      </c>
      <c r="D52" s="78">
        <f>B52/National!B54</f>
        <v>1.7050025771427155E-2</v>
      </c>
      <c r="E52" s="51"/>
      <c r="F52" s="60" t="s">
        <v>1</v>
      </c>
      <c r="G52" s="190">
        <f>SUM(G50:G51)</f>
        <v>634140</v>
      </c>
      <c r="H52" s="185">
        <f>SUM(H50:H51)</f>
        <v>1</v>
      </c>
      <c r="I52" s="192">
        <f>+G52/National!G54</f>
        <v>1.7428834389601758E-2</v>
      </c>
    </row>
    <row r="53" spans="1:9">
      <c r="A53" s="146" t="s">
        <v>6</v>
      </c>
      <c r="B53" s="157">
        <f>561+8668</f>
        <v>9229</v>
      </c>
      <c r="C53" s="175">
        <f t="shared" si="6"/>
        <v>0.16932391523713422</v>
      </c>
      <c r="D53" s="78">
        <f>B53/National!B55</f>
        <v>1.7445860932159815E-2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670+156+2859</f>
        <v>3685</v>
      </c>
      <c r="C54" s="175">
        <f t="shared" si="6"/>
        <v>6.7608476286579219E-2</v>
      </c>
      <c r="D54" s="78">
        <f>B54/National!B56</f>
        <v>8.8465407264966493E-3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693+7385</f>
        <v>8078</v>
      </c>
      <c r="C55" s="175">
        <f t="shared" si="6"/>
        <v>0.1482065865516925</v>
      </c>
      <c r="D55" s="78">
        <f>B55/National!B57</f>
        <v>2.0140519893687574E-2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5518</v>
      </c>
      <c r="C56" s="175">
        <f t="shared" si="6"/>
        <v>0.10123841849371618</v>
      </c>
      <c r="D56" s="78">
        <f>B56/National!B58</f>
        <v>2.4786186574672991E-2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54505</v>
      </c>
      <c r="C57" s="178">
        <f>SUM(C51:C56)</f>
        <v>1</v>
      </c>
      <c r="D57" s="177">
        <f>B57/National!B59</f>
        <v>1.833019506582963E-2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62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10003422</v>
      </c>
      <c r="C4" s="99"/>
      <c r="D4" s="77">
        <f>B4/National!B4</f>
        <v>3.2899529962080738E-2</v>
      </c>
      <c r="E4" s="1"/>
      <c r="F4" s="146" t="s">
        <v>10</v>
      </c>
      <c r="G4" s="195">
        <v>3493967</v>
      </c>
      <c r="H4" s="189">
        <f>G4/G$6</f>
        <v>0.49083751944614351</v>
      </c>
      <c r="I4" s="112">
        <f>+G4/National!G4</f>
        <v>3.3719638840920572E-2</v>
      </c>
    </row>
    <row r="5" spans="1:9">
      <c r="A5" s="8" t="s">
        <v>167</v>
      </c>
      <c r="B5" s="50">
        <f>52293+4511</f>
        <v>56804</v>
      </c>
      <c r="C5" s="100"/>
      <c r="D5" s="79">
        <f>B5/National!B5</f>
        <v>1.6057935665923475E-2</v>
      </c>
      <c r="E5" s="1"/>
      <c r="F5" s="146" t="s">
        <v>11</v>
      </c>
      <c r="G5" s="196">
        <v>3624411</v>
      </c>
      <c r="H5" s="86">
        <f>G5/G$6</f>
        <v>0.50916248055385649</v>
      </c>
      <c r="I5" s="113">
        <f>+G5/National!G5</f>
        <v>3.4616299626028767E-2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7118378</v>
      </c>
      <c r="H6" s="182">
        <f>SUM(H4:H5)</f>
        <v>1</v>
      </c>
      <c r="I6" s="183">
        <f>+G6/National!G6</f>
        <v>3.4170302724885089E-2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4601047</v>
      </c>
      <c r="C8" s="174">
        <f>B8/B10</f>
        <v>0.84534854516468694</v>
      </c>
      <c r="D8" s="77">
        <f>B8/National!B8</f>
        <v>3.3681117392340684E-2</v>
      </c>
      <c r="E8" s="1"/>
      <c r="F8" s="146" t="s">
        <v>32</v>
      </c>
      <c r="G8" s="206">
        <f>19/100</f>
        <v>0.19</v>
      </c>
      <c r="H8" s="87"/>
      <c r="I8" s="87"/>
    </row>
    <row r="9" spans="1:9">
      <c r="A9" s="146" t="s">
        <v>169</v>
      </c>
      <c r="B9" s="150">
        <v>841734</v>
      </c>
      <c r="C9" s="175">
        <f>B9/B10</f>
        <v>0.15465145483531306</v>
      </c>
      <c r="D9" s="78">
        <f>B9/National!B9</f>
        <v>2.1828965179500004E-2</v>
      </c>
      <c r="E9" s="1"/>
      <c r="F9" s="146" t="s">
        <v>31</v>
      </c>
      <c r="G9" s="207">
        <f>15/100</f>
        <v>0.15</v>
      </c>
      <c r="H9" s="87"/>
      <c r="I9" s="87"/>
    </row>
    <row r="10" spans="1:9">
      <c r="A10" s="9" t="s">
        <v>9</v>
      </c>
      <c r="B10" s="152">
        <f>SUM(B8:B9)</f>
        <v>5442781</v>
      </c>
      <c r="C10" s="176">
        <f>SUM(C8:C9)</f>
        <v>1</v>
      </c>
      <c r="D10" s="165"/>
      <c r="E10" s="1"/>
      <c r="F10" s="146" t="s">
        <v>33</v>
      </c>
      <c r="G10" s="209" t="s">
        <v>206</v>
      </c>
      <c r="H10" s="87"/>
      <c r="I10" s="87"/>
    </row>
    <row r="11" spans="1:9">
      <c r="A11" s="146" t="s">
        <v>170</v>
      </c>
      <c r="B11" s="149">
        <v>144787</v>
      </c>
      <c r="C11" s="93">
        <f>B11/(B12+B11)</f>
        <v>3.1486715240590539E-2</v>
      </c>
      <c r="D11" s="77">
        <f>B11/National!B11</f>
        <v>3.8390823981358624E-2</v>
      </c>
      <c r="E11" s="1"/>
      <c r="G11" s="49"/>
      <c r="H11" s="87"/>
      <c r="I11" s="86"/>
    </row>
    <row r="12" spans="1:9" ht="23.25">
      <c r="A12" s="146" t="s">
        <v>171</v>
      </c>
      <c r="B12" s="150">
        <v>4453565</v>
      </c>
      <c r="C12" s="95">
        <f>B12/(B11+B12)</f>
        <v>0.96851328475940945</v>
      </c>
      <c r="D12" s="79">
        <f>B12/National!B12</f>
        <v>3.3686841195869267E-2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4388023</v>
      </c>
      <c r="H13" s="189">
        <f>G13/G$18</f>
        <v>0.53413855393821652</v>
      </c>
      <c r="I13" s="92">
        <f>+G13/National!G13</f>
        <v>3.2010709262338448E-2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3531074</v>
      </c>
      <c r="H14" s="86">
        <f>G14/G$18</f>
        <v>0.42982517644251955</v>
      </c>
      <c r="I14" s="106">
        <f>+G14/National!G14</f>
        <v>3.2030326268797274E-2</v>
      </c>
    </row>
    <row r="15" spans="1:9">
      <c r="A15" s="146" t="s">
        <v>3</v>
      </c>
      <c r="B15" s="149">
        <v>85853</v>
      </c>
      <c r="C15" s="174">
        <f>B15/B$17</f>
        <v>0.70564496243815034</v>
      </c>
      <c r="D15" s="77">
        <f>B15/National!B15</f>
        <v>2.8836555346113901E-2</v>
      </c>
      <c r="E15" s="3"/>
      <c r="F15" s="146" t="s">
        <v>13</v>
      </c>
      <c r="G15" s="150">
        <v>26374</v>
      </c>
      <c r="H15" s="86">
        <f>G15/G$18</f>
        <v>3.2104139430368809E-3</v>
      </c>
      <c r="I15" s="106">
        <f>+G15/National!G15</f>
        <v>3.1274457256423513E-2</v>
      </c>
    </row>
    <row r="16" spans="1:9">
      <c r="A16" s="146" t="s">
        <v>2</v>
      </c>
      <c r="B16" s="150">
        <v>35813</v>
      </c>
      <c r="C16" s="175">
        <f>B16/B$17</f>
        <v>0.29435503756184966</v>
      </c>
      <c r="D16" s="78">
        <f>B16/National!B16</f>
        <v>3.3610188261351051E-2</v>
      </c>
      <c r="E16" s="1"/>
      <c r="F16" s="9" t="s">
        <v>1</v>
      </c>
      <c r="G16" s="162">
        <v>7945471</v>
      </c>
      <c r="H16" s="105"/>
      <c r="I16" s="106"/>
    </row>
    <row r="17" spans="1:9">
      <c r="A17" s="9" t="s">
        <v>1</v>
      </c>
      <c r="B17" s="154">
        <f>SUM(B15:B16)</f>
        <v>121666</v>
      </c>
      <c r="C17" s="176">
        <f>SUM(C15:C16)</f>
        <v>1</v>
      </c>
      <c r="D17" s="177">
        <f>B17/National!B17</f>
        <v>3.0094727177023266E-2</v>
      </c>
      <c r="E17" s="1"/>
      <c r="F17" s="108" t="s">
        <v>35</v>
      </c>
      <c r="G17" s="117">
        <v>269669</v>
      </c>
      <c r="H17" s="105">
        <f>G17/G$18</f>
        <v>3.2825855676227061E-2</v>
      </c>
      <c r="I17" s="106">
        <f>+G17/National!G17</f>
        <v>3.4992572469033791E-2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8215140</v>
      </c>
      <c r="H18" s="185">
        <f>SUM(H13:H17)</f>
        <v>1</v>
      </c>
      <c r="I18" s="186">
        <f>+G18/National!G18</f>
        <v>3.2106543979107116E-2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608+635</f>
        <v>1243</v>
      </c>
      <c r="C20" s="174">
        <f>B20/B$26</f>
        <v>1.0216410365998997E-2</v>
      </c>
      <c r="D20" s="77">
        <f>B20/National!B20</f>
        <v>2.6587666573977028E-2</v>
      </c>
      <c r="E20" s="51"/>
      <c r="F20" s="163" t="s">
        <v>3</v>
      </c>
      <c r="G20" s="108">
        <f>451+134</f>
        <v>585</v>
      </c>
      <c r="H20" s="189">
        <f>G20/G$23</f>
        <v>0.59693877551020413</v>
      </c>
      <c r="I20" s="92">
        <f>+G20/National!G20</f>
        <v>2.8115538040082665E-2</v>
      </c>
    </row>
    <row r="21" spans="1:9">
      <c r="A21" s="146" t="s">
        <v>7</v>
      </c>
      <c r="B21" s="157">
        <f>2573+2300</f>
        <v>4873</v>
      </c>
      <c r="C21" s="175">
        <f t="shared" ref="C21:C25" si="0">B21/B$26</f>
        <v>4.0051945063164208E-2</v>
      </c>
      <c r="D21" s="78">
        <f>B21/National!B21</f>
        <v>3.0550574900003763E-2</v>
      </c>
      <c r="E21" s="51"/>
      <c r="F21" s="163" t="s">
        <v>2</v>
      </c>
      <c r="G21" s="198">
        <f>356+38</f>
        <v>394</v>
      </c>
      <c r="H21" s="86">
        <f t="shared" ref="H21:H22" si="1">G21/G$23</f>
        <v>0.4020408163265306</v>
      </c>
      <c r="I21" s="106">
        <f>+G21/National!G21</f>
        <v>2.4692905490097769E-2</v>
      </c>
    </row>
    <row r="22" spans="1:9">
      <c r="A22" s="146" t="s">
        <v>6</v>
      </c>
      <c r="B22" s="157">
        <f>5009+4795</f>
        <v>9804</v>
      </c>
      <c r="C22" s="175">
        <f t="shared" si="0"/>
        <v>8.058060114903795E-2</v>
      </c>
      <c r="D22" s="78">
        <f>B22/National!B22</f>
        <v>4.0647608781276559E-2</v>
      </c>
      <c r="E22" s="51"/>
      <c r="F22" s="163" t="s">
        <v>28</v>
      </c>
      <c r="G22" s="181">
        <v>1</v>
      </c>
      <c r="H22" s="86">
        <f t="shared" si="1"/>
        <v>1.0204081632653062E-3</v>
      </c>
      <c r="I22" s="106">
        <f>+G22/National!G22</f>
        <v>2.008032128514056E-3</v>
      </c>
    </row>
    <row r="23" spans="1:9">
      <c r="A23" s="146" t="s">
        <v>30</v>
      </c>
      <c r="B23" s="157">
        <f>16611+4365+3469</f>
        <v>24445</v>
      </c>
      <c r="C23" s="175">
        <f t="shared" si="0"/>
        <v>0.20091725776093763</v>
      </c>
      <c r="D23" s="78">
        <f>B23/National!B23</f>
        <v>3.076053842582048E-2</v>
      </c>
      <c r="E23" s="51"/>
      <c r="F23" s="9" t="s">
        <v>1</v>
      </c>
      <c r="G23" s="197">
        <f>SUM(G20:G22)</f>
        <v>980</v>
      </c>
      <c r="H23" s="132">
        <f>SUM(H20:H22)</f>
        <v>1</v>
      </c>
      <c r="I23" s="133">
        <f>+G23/National!G23</f>
        <v>2.6300958106331016E-2</v>
      </c>
    </row>
    <row r="24" spans="1:9">
      <c r="A24" s="146" t="s">
        <v>8</v>
      </c>
      <c r="B24" s="157">
        <f>56687+24286</f>
        <v>80973</v>
      </c>
      <c r="C24" s="175">
        <f t="shared" si="0"/>
        <v>0.66552968348031927</v>
      </c>
      <c r="D24" s="78">
        <f>B24/National!B24</f>
        <v>2.9029822493353181E-2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329</v>
      </c>
      <c r="C25" s="175">
        <f t="shared" si="0"/>
        <v>2.704102180541971E-3</v>
      </c>
      <c r="D25" s="78">
        <f>B25/National!B25</f>
        <v>2.9025143361270402E-2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121667</v>
      </c>
      <c r="C26" s="176">
        <f>SUM(C20:C25)</f>
        <v>1</v>
      </c>
      <c r="D26" s="177">
        <f>B26/National!B26</f>
        <v>3.0094900090977046E-2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2839864</v>
      </c>
      <c r="H27" s="87"/>
      <c r="I27" s="113">
        <f>+G27/National!G27</f>
        <v>2.0566922205048823E-2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3268570</v>
      </c>
      <c r="H28" s="87"/>
      <c r="I28" s="114">
        <f>+G28/National!G28</f>
        <v>2.4579288077239379E-2</v>
      </c>
    </row>
    <row r="29" spans="1:9">
      <c r="A29" s="146" t="s">
        <v>91</v>
      </c>
      <c r="B29" s="149">
        <f>7056+2596</f>
        <v>9652</v>
      </c>
      <c r="C29" s="174">
        <f>B29/B$34</f>
        <v>7.9331941544885182E-2</v>
      </c>
      <c r="D29" s="77">
        <f>B29/National!B29</f>
        <v>1.2378596263079798E-2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74258+15048</f>
        <v>89306</v>
      </c>
      <c r="C30" s="175">
        <f t="shared" ref="C30:C33" si="2">B30/B$34</f>
        <v>0.73402593986816367</v>
      </c>
      <c r="D30" s="78">
        <f>B30/National!B30</f>
        <v>4.9946142325197451E-2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2939+18169</f>
        <v>21108</v>
      </c>
      <c r="C31" s="175">
        <f t="shared" si="2"/>
        <v>0.17349136159650189</v>
      </c>
      <c r="D31" s="78">
        <f>B31/National!B31</f>
        <v>1.6408071888311931E-2</v>
      </c>
      <c r="E31" s="51"/>
      <c r="F31" s="163" t="s">
        <v>16</v>
      </c>
      <c r="G31" s="168">
        <v>936850</v>
      </c>
      <c r="H31" s="92">
        <f>G31/G$38</f>
        <v>0.17353081350452595</v>
      </c>
      <c r="I31" s="112">
        <f>+G31/National!G31</f>
        <v>2.2178255267658174E-2</v>
      </c>
    </row>
    <row r="32" spans="1:9">
      <c r="A32" s="146" t="s">
        <v>94</v>
      </c>
      <c r="B32" s="157">
        <f>36+0</f>
        <v>36</v>
      </c>
      <c r="C32" s="175">
        <f t="shared" si="2"/>
        <v>2.9589203228510842E-4</v>
      </c>
      <c r="D32" s="78">
        <f>B32/National!B32</f>
        <v>6.3139063787993053E-4</v>
      </c>
      <c r="E32" s="51"/>
      <c r="F32" s="163" t="s">
        <v>17</v>
      </c>
      <c r="G32" s="169">
        <v>1821028</v>
      </c>
      <c r="H32" s="106">
        <f t="shared" ref="H32:H37" si="3">G32/G$38</f>
        <v>0.33730529994611719</v>
      </c>
      <c r="I32" s="113">
        <f>+G32/National!G32</f>
        <v>2.9271221602710246E-2</v>
      </c>
    </row>
    <row r="33" spans="1:9">
      <c r="A33" s="146" t="s">
        <v>95</v>
      </c>
      <c r="B33" s="150">
        <v>1564</v>
      </c>
      <c r="C33" s="175">
        <f t="shared" si="2"/>
        <v>1.2854864958164154E-2</v>
      </c>
      <c r="D33" s="78">
        <f>B33/National!B33</f>
        <v>1.1890642581272998E-2</v>
      </c>
      <c r="E33" s="51"/>
      <c r="F33" s="163" t="s">
        <v>18</v>
      </c>
      <c r="G33" s="169">
        <v>1491962</v>
      </c>
      <c r="H33" s="106">
        <f t="shared" si="3"/>
        <v>0.27635307634929768</v>
      </c>
      <c r="I33" s="113">
        <f>+G33/National!G33</f>
        <v>4.6965298654180129E-2</v>
      </c>
    </row>
    <row r="34" spans="1:9">
      <c r="A34" s="9" t="s">
        <v>1</v>
      </c>
      <c r="B34" s="154">
        <f>SUM(B29:B33)</f>
        <v>121666</v>
      </c>
      <c r="C34" s="176">
        <f>SUM(C29:C33)</f>
        <v>1</v>
      </c>
      <c r="D34" s="180">
        <f>B34/National!B34</f>
        <v>3.0094727177023266E-2</v>
      </c>
      <c r="E34" s="51"/>
      <c r="F34" s="163" t="s">
        <v>19</v>
      </c>
      <c r="G34" s="169">
        <v>41289</v>
      </c>
      <c r="H34" s="106">
        <f t="shared" si="3"/>
        <v>7.6478772042358669E-3</v>
      </c>
      <c r="I34" s="113">
        <f>+G34/National!G34</f>
        <v>4.807779639299503E-3</v>
      </c>
    </row>
    <row r="35" spans="1:9">
      <c r="B35" s="49"/>
      <c r="C35" s="96"/>
      <c r="D35" s="96"/>
      <c r="E35" s="51"/>
      <c r="F35" s="163" t="s">
        <v>20</v>
      </c>
      <c r="G35" s="169">
        <v>51968</v>
      </c>
      <c r="H35" s="106">
        <f t="shared" si="3"/>
        <v>9.6259265797120179E-3</v>
      </c>
      <c r="I35" s="113">
        <f>+G35/National!G35</f>
        <v>3.8979731334782023E-3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494400</v>
      </c>
      <c r="H36" s="106">
        <f t="shared" si="3"/>
        <v>9.1576702990486883E-2</v>
      </c>
      <c r="I36" s="113">
        <f>+G36/National!G36</f>
        <v>3.1250452338287917E-2</v>
      </c>
    </row>
    <row r="37" spans="1:9">
      <c r="A37" s="146" t="s">
        <v>5</v>
      </c>
      <c r="B37" s="149">
        <f>2573+3445</f>
        <v>6018</v>
      </c>
      <c r="C37" s="174">
        <f>B37/B$43</f>
        <v>2.3514793454306748E-2</v>
      </c>
      <c r="D37" s="77">
        <f>B37/National!B37</f>
        <v>2.8175740210124166E-2</v>
      </c>
      <c r="E37" s="51"/>
      <c r="F37" s="163" t="s">
        <v>22</v>
      </c>
      <c r="G37" s="170">
        <v>561256</v>
      </c>
      <c r="H37" s="106">
        <f t="shared" si="3"/>
        <v>0.1039603034256244</v>
      </c>
      <c r="I37" s="114">
        <f>+G37/National!G37</f>
        <v>2.1876065898697963E-2</v>
      </c>
    </row>
    <row r="38" spans="1:9">
      <c r="A38" s="146" t="s">
        <v>7</v>
      </c>
      <c r="B38" s="157">
        <f>6226+8768</f>
        <v>14994</v>
      </c>
      <c r="C38" s="175">
        <f t="shared" ref="C38:C42" si="4">B38/B$43</f>
        <v>5.8587705725137149E-2</v>
      </c>
      <c r="D38" s="78">
        <f>B38/National!B38</f>
        <v>3.1399863460644419E-2</v>
      </c>
      <c r="E38" s="51"/>
      <c r="F38" s="47" t="s">
        <v>1</v>
      </c>
      <c r="G38" s="187">
        <f>SUM(G31:G37)</f>
        <v>5398753</v>
      </c>
      <c r="H38" s="188">
        <f>SUM(H31:H37)</f>
        <v>1</v>
      </c>
      <c r="I38" s="188">
        <f>+G38/National!G39</f>
        <v>2.6822127923536419E-2</v>
      </c>
    </row>
    <row r="39" spans="1:9">
      <c r="A39" s="146" t="s">
        <v>6</v>
      </c>
      <c r="B39" s="157">
        <f>10272+11973</f>
        <v>22245</v>
      </c>
      <c r="C39" s="175">
        <f t="shared" si="4"/>
        <v>8.6920335724668257E-2</v>
      </c>
      <c r="D39" s="78">
        <f>B39/National!B39</f>
        <v>4.0248966409437564E-2</v>
      </c>
      <c r="E39" s="51"/>
      <c r="H39" s="87"/>
      <c r="I39" s="87"/>
    </row>
    <row r="40" spans="1:9" ht="23.25">
      <c r="A40" s="146" t="s">
        <v>30</v>
      </c>
      <c r="B40" s="157">
        <f>33258+8730+7262</f>
        <v>49250</v>
      </c>
      <c r="C40" s="175">
        <f t="shared" si="4"/>
        <v>0.19243994310811022</v>
      </c>
      <c r="D40" s="78">
        <f>B40/National!B40</f>
        <v>3.0612993335380416E-2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48575+113374</f>
        <v>161949</v>
      </c>
      <c r="C41" s="175">
        <f t="shared" si="4"/>
        <v>0.6328011440896516</v>
      </c>
      <c r="D41" s="78">
        <f>B41/National!B41</f>
        <v>2.9030381077416501E-2</v>
      </c>
      <c r="E41" s="51"/>
      <c r="F41" s="163" t="s">
        <v>38</v>
      </c>
      <c r="G41" s="168">
        <v>2958446</v>
      </c>
      <c r="H41" s="189">
        <f>G41/G$47</f>
        <v>0.59121161925396659</v>
      </c>
      <c r="I41" s="113">
        <f>+G41/National!G42</f>
        <v>3.2622270634401117E-2</v>
      </c>
    </row>
    <row r="42" spans="1:9">
      <c r="A42" s="156" t="s">
        <v>29</v>
      </c>
      <c r="B42" s="150">
        <v>1468</v>
      </c>
      <c r="C42" s="175">
        <f t="shared" si="4"/>
        <v>5.7360778981260059E-3</v>
      </c>
      <c r="D42" s="78">
        <f>B42/National!B42</f>
        <v>2.7813565744600227E-2</v>
      </c>
      <c r="E42" s="51"/>
      <c r="F42" s="163" t="s">
        <v>39</v>
      </c>
      <c r="G42" s="169">
        <v>1319004</v>
      </c>
      <c r="H42" s="86">
        <f t="shared" ref="H42:H46" si="5">G42/G$47</f>
        <v>0.26358787371561254</v>
      </c>
      <c r="I42" s="113">
        <f>+G42/National!G43</f>
        <v>2.9616807943351999E-2</v>
      </c>
    </row>
    <row r="43" spans="1:9">
      <c r="A43" s="9" t="s">
        <v>1</v>
      </c>
      <c r="B43" s="154">
        <f>SUM(B37:B42)</f>
        <v>255924</v>
      </c>
      <c r="C43" s="178">
        <f>SUM(C37:C42)</f>
        <v>1</v>
      </c>
      <c r="D43" s="179">
        <f>B43/National!B43</f>
        <v>3.0165598200559196E-2</v>
      </c>
      <c r="E43" s="51"/>
      <c r="F43" s="163" t="s">
        <v>40</v>
      </c>
      <c r="G43" s="169">
        <v>204907</v>
      </c>
      <c r="H43" s="86">
        <f t="shared" si="5"/>
        <v>4.0948321945532398E-2</v>
      </c>
      <c r="I43" s="113">
        <f>+G43/National!G44</f>
        <v>1.5640591635355385E-2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227879</v>
      </c>
      <c r="H44" s="86">
        <f t="shared" si="5"/>
        <v>4.5539013584826177E-2</v>
      </c>
      <c r="I44" s="113">
        <f>+G44/National!G45</f>
        <v>1.547827102851348E-2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99588</v>
      </c>
      <c r="H45" s="86">
        <f t="shared" si="5"/>
        <v>1.9901523549276896E-2</v>
      </c>
      <c r="I45" s="113">
        <f>+G45/National!G46</f>
        <v>1.1971359039194697E-2</v>
      </c>
    </row>
    <row r="46" spans="1:9">
      <c r="A46" s="8" t="s">
        <v>3</v>
      </c>
      <c r="B46" s="52">
        <v>31821</v>
      </c>
      <c r="C46" s="93">
        <f>B46/B$48</f>
        <v>0.31250675178001475</v>
      </c>
      <c r="D46" s="77">
        <f>B46/National!B48</f>
        <v>3.212885872429621E-2</v>
      </c>
      <c r="E46" s="51"/>
      <c r="F46" s="163" t="s">
        <v>43</v>
      </c>
      <c r="G46" s="170">
        <v>194215</v>
      </c>
      <c r="H46" s="86">
        <f t="shared" si="5"/>
        <v>3.8811647950785358E-2</v>
      </c>
      <c r="I46" s="113">
        <f>+G46/National!G47</f>
        <v>2.438042169850627E-2</v>
      </c>
    </row>
    <row r="47" spans="1:9">
      <c r="A47" s="8" t="s">
        <v>2</v>
      </c>
      <c r="B47" s="52">
        <v>70004</v>
      </c>
      <c r="C47" s="97">
        <f>B47/B$48</f>
        <v>0.68749324821998525</v>
      </c>
      <c r="D47" s="78">
        <f>B47/National!B49</f>
        <v>3.5300447634526104E-2</v>
      </c>
      <c r="E47" s="51"/>
      <c r="F47" s="9" t="s">
        <v>1</v>
      </c>
      <c r="G47" s="191">
        <f>SUM(G41:G46)</f>
        <v>5004039</v>
      </c>
      <c r="H47" s="182">
        <f>SUM(H41:H46)</f>
        <v>1</v>
      </c>
      <c r="I47" s="188">
        <f>+G47/National!G49</f>
        <v>2.7582712877794232E-2</v>
      </c>
    </row>
    <row r="48" spans="1:9">
      <c r="A48" s="9" t="s">
        <v>1</v>
      </c>
      <c r="B48" s="155">
        <f>SUM(B46:B47)</f>
        <v>101825</v>
      </c>
      <c r="C48" s="165">
        <f>SUM(C46:C47)</f>
        <v>1</v>
      </c>
      <c r="D48" s="177">
        <f>B48/National!B50</f>
        <v>3.4244053069958758E-2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940101</v>
      </c>
      <c r="H50" s="189">
        <f>G50/G$52</f>
        <v>0.85598116315342365</v>
      </c>
      <c r="I50" s="113">
        <f>+G50/National!G52</f>
        <v>2.9995212129832641E-2</v>
      </c>
    </row>
    <row r="51" spans="1:9">
      <c r="A51" s="146" t="s">
        <v>5</v>
      </c>
      <c r="B51" s="149">
        <f>5245+15346</f>
        <v>20591</v>
      </c>
      <c r="C51" s="174">
        <f>B51/B$57</f>
        <v>0.20221949423029709</v>
      </c>
      <c r="D51" s="77">
        <f>B51/National!B53</f>
        <v>2.8623219128667561E-2</v>
      </c>
      <c r="E51" s="51"/>
      <c r="F51" s="163" t="s">
        <v>97</v>
      </c>
      <c r="G51" s="194">
        <v>158172</v>
      </c>
      <c r="H51" s="86">
        <f>G51/G$52</f>
        <v>0.1440188368465764</v>
      </c>
      <c r="I51" s="113">
        <f>+G51/National!G53</f>
        <v>3.1365715012063658E-2</v>
      </c>
    </row>
    <row r="52" spans="1:9">
      <c r="A52" s="146" t="s">
        <v>7</v>
      </c>
      <c r="B52" s="157">
        <f>6696+19149</f>
        <v>25845</v>
      </c>
      <c r="C52" s="175">
        <f t="shared" ref="C52:C56" si="6">B52/B$57</f>
        <v>0.25381782469923891</v>
      </c>
      <c r="D52" s="78">
        <f>B52/National!B54</f>
        <v>3.7737254094590632E-2</v>
      </c>
      <c r="E52" s="51"/>
      <c r="F52" s="60" t="s">
        <v>1</v>
      </c>
      <c r="G52" s="190">
        <f>SUM(G50:G51)</f>
        <v>1098273</v>
      </c>
      <c r="H52" s="185">
        <f>SUM(H50:H51)</f>
        <v>1</v>
      </c>
      <c r="I52" s="192">
        <f>+G52/National!G54</f>
        <v>3.0185161370629657E-2</v>
      </c>
    </row>
    <row r="53" spans="1:9">
      <c r="A53" s="146" t="s">
        <v>6</v>
      </c>
      <c r="B53" s="157">
        <f>6884+17236</f>
        <v>24120</v>
      </c>
      <c r="C53" s="175">
        <f t="shared" si="6"/>
        <v>0.23687699484409527</v>
      </c>
      <c r="D53" s="78">
        <f>B53/National!B55</f>
        <v>4.5594773614009619E-2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9665+961+5802</f>
        <v>16428</v>
      </c>
      <c r="C54" s="175">
        <f t="shared" si="6"/>
        <v>0.16133562484655045</v>
      </c>
      <c r="D54" s="78">
        <f>B54/National!B56</f>
        <v>3.9438526744881131E-2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2370+6886</f>
        <v>9256</v>
      </c>
      <c r="C55" s="175">
        <f t="shared" si="6"/>
        <v>9.0901055732875033E-2</v>
      </c>
      <c r="D55" s="78">
        <f>B55/National!B57</f>
        <v>2.3077575159194379E-2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5585</v>
      </c>
      <c r="C56" s="175">
        <f t="shared" si="6"/>
        <v>5.4849005646943283E-2</v>
      </c>
      <c r="D56" s="78">
        <f>B56/National!B58</f>
        <v>2.5087142446456805E-2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101825</v>
      </c>
      <c r="C57" s="178">
        <f>SUM(C51:C56)</f>
        <v>1</v>
      </c>
      <c r="D57" s="177">
        <f>B57/National!B59</f>
        <v>3.4244053069958758E-2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63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5220393</v>
      </c>
      <c r="C4" s="99"/>
      <c r="D4" s="77">
        <f>B4/National!B4</f>
        <v>1.716897236938885E-2</v>
      </c>
      <c r="E4" s="1"/>
      <c r="F4" s="146" t="s">
        <v>10</v>
      </c>
      <c r="G4" s="195">
        <v>1596959</v>
      </c>
      <c r="H4" s="189">
        <f>G4/G$6</f>
        <v>0.50058538961558008</v>
      </c>
      <c r="I4" s="112">
        <f>+G4/National!G4</f>
        <v>1.5411960308657087E-2</v>
      </c>
    </row>
    <row r="5" spans="1:9">
      <c r="A5" s="8" t="s">
        <v>167</v>
      </c>
      <c r="B5" s="50">
        <f>77004+2606</f>
        <v>79610</v>
      </c>
      <c r="C5" s="100"/>
      <c r="D5" s="79">
        <f>B5/National!B5</f>
        <v>2.2504968987468624E-2</v>
      </c>
      <c r="E5" s="1"/>
      <c r="F5" s="146" t="s">
        <v>11</v>
      </c>
      <c r="G5" s="196">
        <v>1593224</v>
      </c>
      <c r="H5" s="86">
        <f>G5/G$6</f>
        <v>0.49941461038441998</v>
      </c>
      <c r="I5" s="113">
        <f>+G5/National!G5</f>
        <v>1.5216684684871572E-2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3190183</v>
      </c>
      <c r="H6" s="182">
        <f>SUM(H4:H5)</f>
        <v>1</v>
      </c>
      <c r="I6" s="183">
        <f>+G6/National!G6</f>
        <v>1.5313814306824124E-2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2625202</v>
      </c>
      <c r="C8" s="174">
        <f>B8/B10</f>
        <v>0.79705552392880186</v>
      </c>
      <c r="D8" s="77">
        <f>B8/National!B8</f>
        <v>1.9217307873752983E-2</v>
      </c>
      <c r="E8" s="1"/>
      <c r="F8" s="146" t="s">
        <v>32</v>
      </c>
      <c r="G8" s="206">
        <f>22.5/100</f>
        <v>0.22500000000000001</v>
      </c>
      <c r="H8" s="87"/>
      <c r="I8" s="87"/>
    </row>
    <row r="9" spans="1:9">
      <c r="A9" s="146" t="s">
        <v>169</v>
      </c>
      <c r="B9" s="150">
        <v>668423</v>
      </c>
      <c r="C9" s="175">
        <f>B9/B10</f>
        <v>0.20294447607119814</v>
      </c>
      <c r="D9" s="78">
        <f>B9/National!B9</f>
        <v>1.7334433909259851E-2</v>
      </c>
      <c r="E9" s="1"/>
      <c r="F9" s="146" t="s">
        <v>31</v>
      </c>
      <c r="G9" s="207">
        <f>20/100</f>
        <v>0.2</v>
      </c>
      <c r="H9" s="87"/>
      <c r="I9" s="87"/>
    </row>
    <row r="10" spans="1:9">
      <c r="A10" s="9" t="s">
        <v>9</v>
      </c>
      <c r="B10" s="152">
        <f>SUM(B8:B9)</f>
        <v>3293625</v>
      </c>
      <c r="C10" s="176">
        <f>SUM(C8:C9)</f>
        <v>1</v>
      </c>
      <c r="D10" s="165"/>
      <c r="E10" s="1"/>
      <c r="F10" s="146" t="s">
        <v>33</v>
      </c>
      <c r="G10" s="205">
        <f>22.5/100</f>
        <v>0.22500000000000001</v>
      </c>
      <c r="H10" s="87"/>
      <c r="I10" s="87"/>
    </row>
    <row r="11" spans="1:9">
      <c r="A11" s="146" t="s">
        <v>170</v>
      </c>
      <c r="B11" s="149">
        <v>118876</v>
      </c>
      <c r="C11" s="93">
        <f>B11/(B12+B11)</f>
        <v>4.5753090496638643E-2</v>
      </c>
      <c r="D11" s="77">
        <f>B11/National!B11</f>
        <v>3.1520423736992882E-2</v>
      </c>
      <c r="E11" s="1"/>
      <c r="G11" s="49"/>
      <c r="H11" s="87"/>
      <c r="I11" s="86"/>
    </row>
    <row r="12" spans="1:9" ht="23.25">
      <c r="A12" s="146" t="s">
        <v>171</v>
      </c>
      <c r="B12" s="150">
        <v>2479331</v>
      </c>
      <c r="C12" s="95">
        <f>B12/(B11+B12)</f>
        <v>0.95424690950336133</v>
      </c>
      <c r="D12" s="79">
        <f>B12/National!B12</f>
        <v>1.8753701735350386E-2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2543559</v>
      </c>
      <c r="H13" s="189">
        <f>G13/G$18</f>
        <v>0.50549272125251965</v>
      </c>
      <c r="I13" s="92">
        <f>+G13/National!G13</f>
        <v>1.8555310134109215E-2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2221730</v>
      </c>
      <c r="H14" s="86">
        <f>G14/G$18</f>
        <v>0.44153422176893109</v>
      </c>
      <c r="I14" s="106">
        <f>+G14/National!G14</f>
        <v>2.0153283896393835E-2</v>
      </c>
    </row>
    <row r="15" spans="1:9">
      <c r="A15" s="146" t="s">
        <v>3</v>
      </c>
      <c r="B15" s="149">
        <v>117613</v>
      </c>
      <c r="C15" s="174">
        <f>B15/B$17</f>
        <v>0.85079463827139956</v>
      </c>
      <c r="D15" s="77">
        <f>B15/National!B15</f>
        <v>3.9504196521059187E-2</v>
      </c>
      <c r="E15" s="3"/>
      <c r="F15" s="146" t="s">
        <v>13</v>
      </c>
      <c r="G15" s="150">
        <v>18202</v>
      </c>
      <c r="H15" s="86">
        <f>G15/G$18</f>
        <v>3.6173639031916948E-3</v>
      </c>
      <c r="I15" s="106">
        <f>+G15/National!G15</f>
        <v>2.1584047584038098E-2</v>
      </c>
    </row>
    <row r="16" spans="1:9">
      <c r="A16" s="146" t="s">
        <v>2</v>
      </c>
      <c r="B16" s="150">
        <v>20626</v>
      </c>
      <c r="C16" s="175">
        <f>B16/B$17</f>
        <v>0.14920536172860047</v>
      </c>
      <c r="D16" s="78">
        <f>B16/National!B16</f>
        <v>1.9357321170486327E-2</v>
      </c>
      <c r="E16" s="1"/>
      <c r="F16" s="9" t="s">
        <v>1</v>
      </c>
      <c r="G16" s="162">
        <v>4783491</v>
      </c>
      <c r="H16" s="105"/>
      <c r="I16" s="106"/>
    </row>
    <row r="17" spans="1:9">
      <c r="A17" s="9" t="s">
        <v>1</v>
      </c>
      <c r="B17" s="154">
        <f>SUM(B15:B16)</f>
        <v>138239</v>
      </c>
      <c r="C17" s="176">
        <f>SUM(C15:C16)</f>
        <v>1</v>
      </c>
      <c r="D17" s="177">
        <f>B17/National!B17</f>
        <v>3.4194146188947769E-2</v>
      </c>
      <c r="E17" s="1"/>
      <c r="F17" s="108" t="s">
        <v>35</v>
      </c>
      <c r="G17" s="117">
        <v>248350</v>
      </c>
      <c r="H17" s="105">
        <f>G17/G$18</f>
        <v>4.9355693075357511E-2</v>
      </c>
      <c r="I17" s="106">
        <f>+G17/National!G17</f>
        <v>3.2226193491593551E-2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5031841</v>
      </c>
      <c r="H18" s="185">
        <f>SUM(H13:H17)</f>
        <v>0.99999999999999989</v>
      </c>
      <c r="I18" s="186">
        <f>+G18/National!G18</f>
        <v>1.9665522968856809E-2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634+284</f>
        <v>918</v>
      </c>
      <c r="C20" s="174">
        <f>B20/B$26</f>
        <v>6.6405289275328775E-3</v>
      </c>
      <c r="D20" s="77">
        <f>B20/National!B20</f>
        <v>1.9635943616179333E-2</v>
      </c>
      <c r="E20" s="51"/>
      <c r="F20" s="163" t="s">
        <v>3</v>
      </c>
      <c r="G20" s="108">
        <f>243+73</f>
        <v>316</v>
      </c>
      <c r="H20" s="189">
        <f>G20/G$23</f>
        <v>0.69298245614035092</v>
      </c>
      <c r="I20" s="92">
        <f>+G20/National!G20</f>
        <v>1.5187196616523286E-2</v>
      </c>
    </row>
    <row r="21" spans="1:9">
      <c r="A21" s="146" t="s">
        <v>7</v>
      </c>
      <c r="B21" s="157">
        <f>3604+650</f>
        <v>4254</v>
      </c>
      <c r="C21" s="175">
        <f t="shared" ref="C21:C25" si="0">B21/B$26</f>
        <v>3.0772124245887645E-2</v>
      </c>
      <c r="D21" s="78">
        <f>B21/National!B21</f>
        <v>2.6669843140696901E-2</v>
      </c>
      <c r="E21" s="51"/>
      <c r="F21" s="163" t="s">
        <v>2</v>
      </c>
      <c r="G21" s="198">
        <f>119+20</f>
        <v>139</v>
      </c>
      <c r="H21" s="86">
        <f t="shared" ref="H21:H22" si="1">G21/G$23</f>
        <v>0.30482456140350878</v>
      </c>
      <c r="I21" s="106">
        <f>+G21/National!G21</f>
        <v>8.7114565053898214E-3</v>
      </c>
    </row>
    <row r="22" spans="1:9">
      <c r="A22" s="146" t="s">
        <v>6</v>
      </c>
      <c r="B22" s="157">
        <f>6638+2545</f>
        <v>9183</v>
      </c>
      <c r="C22" s="175">
        <f t="shared" si="0"/>
        <v>6.6426990350255344E-2</v>
      </c>
      <c r="D22" s="78">
        <f>B22/National!B22</f>
        <v>3.8072928543294846E-2</v>
      </c>
      <c r="E22" s="51"/>
      <c r="F22" s="163" t="s">
        <v>28</v>
      </c>
      <c r="G22" s="181">
        <v>1</v>
      </c>
      <c r="H22" s="86">
        <f t="shared" si="1"/>
        <v>2.1929824561403508E-3</v>
      </c>
      <c r="I22" s="106">
        <f>+G22/National!G22</f>
        <v>2.008032128514056E-3</v>
      </c>
    </row>
    <row r="23" spans="1:9">
      <c r="A23" s="146" t="s">
        <v>30</v>
      </c>
      <c r="B23" s="157">
        <f>16096+12084+2309</f>
        <v>30489</v>
      </c>
      <c r="C23" s="175">
        <f t="shared" si="0"/>
        <v>0.22054802447881253</v>
      </c>
      <c r="D23" s="78">
        <f>B23/National!B23</f>
        <v>3.8366048519731667E-2</v>
      </c>
      <c r="E23" s="51"/>
      <c r="F23" s="9" t="s">
        <v>1</v>
      </c>
      <c r="G23" s="197">
        <f>SUM(G20:G22)</f>
        <v>456</v>
      </c>
      <c r="H23" s="132">
        <f>SUM(H20:H22)</f>
        <v>1</v>
      </c>
      <c r="I23" s="133">
        <f>+G23/National!G23</f>
        <v>1.2237996833149942E-2</v>
      </c>
    </row>
    <row r="24" spans="1:9">
      <c r="A24" s="146" t="s">
        <v>8</v>
      </c>
      <c r="B24" s="157">
        <f>78558+14666</f>
        <v>93224</v>
      </c>
      <c r="C24" s="175">
        <f t="shared" si="0"/>
        <v>0.67435366965177013</v>
      </c>
      <c r="D24" s="78">
        <f>B24/National!B24</f>
        <v>3.3421957592288255E-2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174</v>
      </c>
      <c r="C25" s="175">
        <f t="shared" si="0"/>
        <v>1.2586623457415257E-3</v>
      </c>
      <c r="D25" s="78">
        <f>B25/National!B25</f>
        <v>1.5350683722981914E-2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138242</v>
      </c>
      <c r="C26" s="176">
        <f>SUM(C20:C25)</f>
        <v>1</v>
      </c>
      <c r="D26" s="177">
        <f>B26/National!B26</f>
        <v>3.4194803672128425E-2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2361119</v>
      </c>
      <c r="H27" s="87"/>
      <c r="I27" s="113">
        <f>+G27/National!G27</f>
        <v>1.7099745195496219E-2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2352498</v>
      </c>
      <c r="H28" s="87"/>
      <c r="I28" s="114">
        <f>+G28/National!G28</f>
        <v>1.7690527063250746E-2</v>
      </c>
    </row>
    <row r="29" spans="1:9">
      <c r="A29" s="146" t="s">
        <v>91</v>
      </c>
      <c r="B29" s="149">
        <f>10538+1355</f>
        <v>11893</v>
      </c>
      <c r="C29" s="174">
        <f>B29/B$34</f>
        <v>8.603216169098446E-2</v>
      </c>
      <c r="D29" s="77">
        <f>B29/National!B29</f>
        <v>1.5252656999254873E-2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42409+2467</f>
        <v>44876</v>
      </c>
      <c r="C30" s="175">
        <f t="shared" ref="C30:C33" si="2">B30/B$34</f>
        <v>0.3246261908723298</v>
      </c>
      <c r="D30" s="78">
        <f>B30/National!B30</f>
        <v>2.5097788311933808E-2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60625+16772</f>
        <v>77397</v>
      </c>
      <c r="C31" s="175">
        <f t="shared" si="2"/>
        <v>0.55987818198916373</v>
      </c>
      <c r="D31" s="78">
        <f>B31/National!B31</f>
        <v>6.0163707596156836E-2</v>
      </c>
      <c r="E31" s="51"/>
      <c r="F31" s="163" t="s">
        <v>16</v>
      </c>
      <c r="G31" s="168">
        <v>608995</v>
      </c>
      <c r="H31" s="92">
        <f>G31/G$38</f>
        <v>0.13514719070179693</v>
      </c>
      <c r="I31" s="112">
        <f>+G31/National!G31</f>
        <v>1.4416872035787467E-2</v>
      </c>
    </row>
    <row r="32" spans="1:9">
      <c r="A32" s="146" t="s">
        <v>94</v>
      </c>
      <c r="B32" s="157">
        <f>4041+32</f>
        <v>4073</v>
      </c>
      <c r="C32" s="175">
        <f t="shared" si="2"/>
        <v>2.9463465447522045E-2</v>
      </c>
      <c r="D32" s="78">
        <f>B32/National!B32</f>
        <v>7.1434835224582147E-2</v>
      </c>
      <c r="E32" s="51"/>
      <c r="F32" s="163" t="s">
        <v>17</v>
      </c>
      <c r="G32" s="169">
        <v>1203951</v>
      </c>
      <c r="H32" s="106">
        <f t="shared" ref="H32:H37" si="3">G32/G$38</f>
        <v>0.2671788691083164</v>
      </c>
      <c r="I32" s="113">
        <f>+G32/National!G32</f>
        <v>1.935231996422054E-2</v>
      </c>
    </row>
    <row r="33" spans="1:9">
      <c r="A33" s="146" t="s">
        <v>95</v>
      </c>
      <c r="B33" s="150">
        <f>0</f>
        <v>0</v>
      </c>
      <c r="C33" s="175">
        <f t="shared" si="2"/>
        <v>0</v>
      </c>
      <c r="D33" s="78">
        <f>B33/National!B33</f>
        <v>0</v>
      </c>
      <c r="E33" s="51"/>
      <c r="F33" s="163" t="s">
        <v>18</v>
      </c>
      <c r="G33" s="169">
        <v>1690828</v>
      </c>
      <c r="H33" s="106">
        <f t="shared" si="3"/>
        <v>0.37522582970293339</v>
      </c>
      <c r="I33" s="113">
        <f>+G33/National!G33</f>
        <v>5.3225378389563593E-2</v>
      </c>
    </row>
    <row r="34" spans="1:9">
      <c r="A34" s="9" t="s">
        <v>1</v>
      </c>
      <c r="B34" s="154">
        <f>SUM(B29:B33)</f>
        <v>138239</v>
      </c>
      <c r="C34" s="176">
        <f>SUM(C29:C33)</f>
        <v>1</v>
      </c>
      <c r="D34" s="180">
        <f>B34/National!B34</f>
        <v>3.4194146188947769E-2</v>
      </c>
      <c r="E34" s="51"/>
      <c r="F34" s="163" t="s">
        <v>19</v>
      </c>
      <c r="G34" s="169">
        <v>369289</v>
      </c>
      <c r="H34" s="106">
        <f t="shared" si="3"/>
        <v>8.1952020799966982E-2</v>
      </c>
      <c r="I34" s="113">
        <f>+G34/National!G34</f>
        <v>4.3000802519249051E-2</v>
      </c>
    </row>
    <row r="35" spans="1:9">
      <c r="B35" s="49"/>
      <c r="C35" s="96"/>
      <c r="D35" s="96"/>
      <c r="E35" s="51"/>
      <c r="F35" s="163" t="s">
        <v>20</v>
      </c>
      <c r="G35" s="169">
        <v>263101</v>
      </c>
      <c r="H35" s="106">
        <f t="shared" si="3"/>
        <v>5.8386950665988188E-2</v>
      </c>
      <c r="I35" s="113">
        <f>+G35/National!G35</f>
        <v>1.9734464081574209E-2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125201</v>
      </c>
      <c r="H36" s="106">
        <f t="shared" si="3"/>
        <v>2.7784404507517596E-2</v>
      </c>
      <c r="I36" s="113">
        <f>+G36/National!G36</f>
        <v>7.9138104433778018E-3</v>
      </c>
    </row>
    <row r="37" spans="1:9">
      <c r="A37" s="146" t="s">
        <v>5</v>
      </c>
      <c r="B37" s="149">
        <f>2540+1455</f>
        <v>3995</v>
      </c>
      <c r="C37" s="174">
        <f>B37/B$43</f>
        <v>1.4075425962202461E-2</v>
      </c>
      <c r="D37" s="77">
        <f>B37/National!B37</f>
        <v>1.8704234320280167E-2</v>
      </c>
      <c r="E37" s="51"/>
      <c r="F37" s="163" t="s">
        <v>22</v>
      </c>
      <c r="G37" s="170">
        <v>244796</v>
      </c>
      <c r="H37" s="106">
        <f t="shared" si="3"/>
        <v>5.4324734513480542E-2</v>
      </c>
      <c r="I37" s="114">
        <f>+G37/National!G37</f>
        <v>9.5414096735494426E-3</v>
      </c>
    </row>
    <row r="38" spans="1:9">
      <c r="A38" s="146" t="s">
        <v>7</v>
      </c>
      <c r="B38" s="157">
        <f>9004+2276</f>
        <v>11280</v>
      </c>
      <c r="C38" s="175">
        <f t="shared" ref="C38:C42" si="4">B38/B$43</f>
        <v>3.9742379187395184E-2</v>
      </c>
      <c r="D38" s="78">
        <f>B38/National!B38</f>
        <v>2.3622146180876952E-2</v>
      </c>
      <c r="E38" s="51"/>
      <c r="F38" s="47" t="s">
        <v>1</v>
      </c>
      <c r="G38" s="187">
        <f>SUM(G31:G37)</f>
        <v>4506161</v>
      </c>
      <c r="H38" s="188">
        <f>SUM(H31:H37)</f>
        <v>1</v>
      </c>
      <c r="I38" s="188">
        <f>+G38/National!G39</f>
        <v>2.2387545195353589E-2</v>
      </c>
    </row>
    <row r="39" spans="1:9">
      <c r="A39" s="146" t="s">
        <v>6</v>
      </c>
      <c r="B39" s="157">
        <f>13354+6640</f>
        <v>19994</v>
      </c>
      <c r="C39" s="175">
        <f t="shared" si="4"/>
        <v>7.0444071761771213E-2</v>
      </c>
      <c r="D39" s="78">
        <f>B39/National!B39</f>
        <v>3.6176122022490209E-2</v>
      </c>
      <c r="E39" s="51"/>
      <c r="H39" s="87"/>
      <c r="I39" s="87"/>
    </row>
    <row r="40" spans="1:9" ht="23.25">
      <c r="A40" s="146" t="s">
        <v>30</v>
      </c>
      <c r="B40" s="157">
        <f>32248+24168+4950</f>
        <v>61366</v>
      </c>
      <c r="C40" s="175">
        <f t="shared" si="4"/>
        <v>0.21620840790901533</v>
      </c>
      <c r="D40" s="78">
        <f>B40/National!B40</f>
        <v>3.814410048769451E-2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157116+29329</f>
        <v>186445</v>
      </c>
      <c r="C41" s="175">
        <f t="shared" si="4"/>
        <v>0.65689431627605455</v>
      </c>
      <c r="D41" s="78">
        <f>B41/National!B41</f>
        <v>3.3421443787728974E-2</v>
      </c>
      <c r="E41" s="51"/>
      <c r="F41" s="163" t="s">
        <v>38</v>
      </c>
      <c r="G41" s="168">
        <v>2211278</v>
      </c>
      <c r="H41" s="189">
        <f>G41/G$47</f>
        <v>0.53870712414554034</v>
      </c>
      <c r="I41" s="113">
        <f>+G41/National!G42</f>
        <v>2.4383378761652984E-2</v>
      </c>
    </row>
    <row r="42" spans="1:9">
      <c r="A42" s="156" t="s">
        <v>29</v>
      </c>
      <c r="B42" s="150">
        <v>748</v>
      </c>
      <c r="C42" s="175">
        <f t="shared" si="4"/>
        <v>2.6353989035613119E-3</v>
      </c>
      <c r="D42" s="78">
        <f>B42/National!B42</f>
        <v>1.4172034861690034E-2</v>
      </c>
      <c r="E42" s="51"/>
      <c r="F42" s="163" t="s">
        <v>39</v>
      </c>
      <c r="G42" s="169">
        <v>1130889</v>
      </c>
      <c r="H42" s="86">
        <f t="shared" ref="H42:H46" si="5">G42/G$47</f>
        <v>0.27550491657667014</v>
      </c>
      <c r="I42" s="113">
        <f>+G42/National!G43</f>
        <v>2.5392889118038608E-2</v>
      </c>
    </row>
    <row r="43" spans="1:9">
      <c r="A43" s="9" t="s">
        <v>1</v>
      </c>
      <c r="B43" s="154">
        <f>SUM(B37:B42)</f>
        <v>283828</v>
      </c>
      <c r="C43" s="178">
        <f>SUM(C37:C42)</f>
        <v>1</v>
      </c>
      <c r="D43" s="179">
        <f>B43/National!B43</f>
        <v>3.3454624834202008E-2</v>
      </c>
      <c r="E43" s="51"/>
      <c r="F43" s="163" t="s">
        <v>40</v>
      </c>
      <c r="G43" s="169">
        <v>277683</v>
      </c>
      <c r="H43" s="86">
        <f t="shared" si="5"/>
        <v>6.7648577136889196E-2</v>
      </c>
      <c r="I43" s="113">
        <f>+G43/National!G44</f>
        <v>2.1195598037550639E-2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326148</v>
      </c>
      <c r="H44" s="86">
        <f t="shared" si="5"/>
        <v>7.9455523514374807E-2</v>
      </c>
      <c r="I44" s="113">
        <f>+G44/National!G45</f>
        <v>2.2153016027837643E-2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87982</v>
      </c>
      <c r="H45" s="86">
        <f t="shared" si="5"/>
        <v>2.1433998889589155E-2</v>
      </c>
      <c r="I45" s="113">
        <f>+G45/National!G46</f>
        <v>1.0576215116142786E-2</v>
      </c>
    </row>
    <row r="46" spans="1:9">
      <c r="A46" s="8" t="s">
        <v>3</v>
      </c>
      <c r="B46" s="52">
        <v>25487</v>
      </c>
      <c r="C46" s="93">
        <f>B46/B$48</f>
        <v>0.43946891973445984</v>
      </c>
      <c r="D46" s="77">
        <f>B46/National!B48</f>
        <v>2.573357915546769E-2</v>
      </c>
      <c r="E46" s="51"/>
      <c r="F46" s="163" t="s">
        <v>43</v>
      </c>
      <c r="G46" s="170">
        <v>70807</v>
      </c>
      <c r="H46" s="86">
        <f t="shared" si="5"/>
        <v>1.7249859736936411E-2</v>
      </c>
      <c r="I46" s="113">
        <f>+G46/National!G47</f>
        <v>8.8886261061510864E-3</v>
      </c>
    </row>
    <row r="47" spans="1:9">
      <c r="A47" s="8" t="s">
        <v>2</v>
      </c>
      <c r="B47" s="52">
        <v>32508</v>
      </c>
      <c r="C47" s="97">
        <f>B47/B$48</f>
        <v>0.5605310802655401</v>
      </c>
      <c r="D47" s="78">
        <f>B47/National!B49</f>
        <v>1.6392591161978953E-2</v>
      </c>
      <c r="E47" s="51"/>
      <c r="F47" s="9" t="s">
        <v>1</v>
      </c>
      <c r="G47" s="191">
        <f>SUM(G41:G46)</f>
        <v>4104787</v>
      </c>
      <c r="H47" s="182">
        <f>SUM(H41:H46)</f>
        <v>1</v>
      </c>
      <c r="I47" s="188">
        <f>+G47/National!G49</f>
        <v>2.2625955002649332E-2</v>
      </c>
    </row>
    <row r="48" spans="1:9">
      <c r="A48" s="9" t="s">
        <v>1</v>
      </c>
      <c r="B48" s="155">
        <f>SUM(B46:B47)</f>
        <v>57995</v>
      </c>
      <c r="C48" s="165">
        <f>SUM(C46:C47)</f>
        <v>1</v>
      </c>
      <c r="D48" s="177">
        <f>B48/National!B50</f>
        <v>1.9503892539084293E-2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561344</v>
      </c>
      <c r="H50" s="189">
        <f>G50/G$52</f>
        <v>0.85987693372895091</v>
      </c>
      <c r="I50" s="113">
        <f>+G50/National!G52</f>
        <v>1.7910450427995262E-2</v>
      </c>
    </row>
    <row r="51" spans="1:9">
      <c r="A51" s="146" t="s">
        <v>5</v>
      </c>
      <c r="B51" s="149">
        <f>4150+8500</f>
        <v>12650</v>
      </c>
      <c r="C51" s="174">
        <f>B51/B$57</f>
        <v>0.21812225191826881</v>
      </c>
      <c r="D51" s="77">
        <f>B51/National!B53</f>
        <v>1.7584562283407542E-2</v>
      </c>
      <c r="E51" s="51"/>
      <c r="F51" s="163" t="s">
        <v>97</v>
      </c>
      <c r="G51" s="194">
        <v>91475</v>
      </c>
      <c r="H51" s="86">
        <f>G51/G$52</f>
        <v>0.14012306627104909</v>
      </c>
      <c r="I51" s="113">
        <f>+G51/National!G53</f>
        <v>1.8139612451815262E-2</v>
      </c>
    </row>
    <row r="52" spans="1:9">
      <c r="A52" s="146" t="s">
        <v>7</v>
      </c>
      <c r="B52" s="157">
        <f>7372+4595</f>
        <v>11967</v>
      </c>
      <c r="C52" s="175">
        <f t="shared" ref="C52:C56" si="6">B52/B$57</f>
        <v>0.20634537460125874</v>
      </c>
      <c r="D52" s="78">
        <f>B52/National!B54</f>
        <v>1.7473465650995012E-2</v>
      </c>
      <c r="E52" s="51"/>
      <c r="F52" s="60" t="s">
        <v>1</v>
      </c>
      <c r="G52" s="190">
        <f>SUM(G50:G51)</f>
        <v>652819</v>
      </c>
      <c r="H52" s="185">
        <f>SUM(H50:H51)</f>
        <v>1</v>
      </c>
      <c r="I52" s="192">
        <f>+G52/National!G54</f>
        <v>1.7942211873380375E-2</v>
      </c>
    </row>
    <row r="53" spans="1:9">
      <c r="A53" s="146" t="s">
        <v>6</v>
      </c>
      <c r="B53" s="157">
        <f>4819+8706</f>
        <v>13525</v>
      </c>
      <c r="C53" s="175">
        <f t="shared" si="6"/>
        <v>0.23320975946202258</v>
      </c>
      <c r="D53" s="78">
        <f>B53/National!B55</f>
        <v>2.5566721108187401E-2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4539+1830+2597</f>
        <v>8966</v>
      </c>
      <c r="C54" s="175">
        <f t="shared" si="6"/>
        <v>0.15459953444262436</v>
      </c>
      <c r="D54" s="78">
        <f>B54/National!B56</f>
        <v>2.1524581859910165E-2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2777+4539</f>
        <v>7316</v>
      </c>
      <c r="C55" s="175">
        <f t="shared" si="6"/>
        <v>0.12614880593154582</v>
      </c>
      <c r="D55" s="78">
        <f>B55/National!B57</f>
        <v>1.8240659017358045E-2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3571</v>
      </c>
      <c r="C56" s="175">
        <f t="shared" si="6"/>
        <v>6.1574273644279677E-2</v>
      </c>
      <c r="D56" s="78">
        <f>B56/National!B58</f>
        <v>1.6040498778208997E-2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57995</v>
      </c>
      <c r="C57" s="178">
        <f>SUM(C51:C56)</f>
        <v>1</v>
      </c>
      <c r="D57" s="177">
        <f>B57/National!B59</f>
        <v>1.9503892539084293E-2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64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2938618</v>
      </c>
      <c r="C4" s="99"/>
      <c r="D4" s="77">
        <f>B4/National!B4</f>
        <v>9.6646078649995741E-3</v>
      </c>
      <c r="E4" s="1"/>
      <c r="F4" s="146" t="s">
        <v>10</v>
      </c>
      <c r="G4" s="195">
        <v>922990</v>
      </c>
      <c r="H4" s="189">
        <f>G4/G$6</f>
        <v>0.47680915648808431</v>
      </c>
      <c r="I4" s="112">
        <f>+G4/National!G4</f>
        <v>8.9076083013323471E-3</v>
      </c>
    </row>
    <row r="5" spans="1:9">
      <c r="A5" s="8" t="s">
        <v>167</v>
      </c>
      <c r="B5" s="50">
        <f>44900+2007</f>
        <v>46907</v>
      </c>
      <c r="C5" s="100"/>
      <c r="D5" s="79">
        <f>B5/National!B5</f>
        <v>1.3260150487315547E-2</v>
      </c>
      <c r="E5" s="1"/>
      <c r="F5" s="146" t="s">
        <v>11</v>
      </c>
      <c r="G5" s="196">
        <v>1012774</v>
      </c>
      <c r="H5" s="86">
        <f>G5/G$6</f>
        <v>0.52319084351191569</v>
      </c>
      <c r="I5" s="113">
        <f>+G5/National!G5</f>
        <v>9.6728787760139955E-3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1935764</v>
      </c>
      <c r="H6" s="182">
        <f>SUM(H4:H5)</f>
        <v>1</v>
      </c>
      <c r="I6" s="183">
        <f>+G6/National!G6</f>
        <v>9.2922350968063887E-3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1645280</v>
      </c>
      <c r="C8" s="174">
        <f>B8/B10</f>
        <v>0.72442882234084105</v>
      </c>
      <c r="D8" s="77">
        <f>B8/National!B8</f>
        <v>1.2043969301611194E-2</v>
      </c>
      <c r="E8" s="1"/>
      <c r="F8" s="146" t="s">
        <v>32</v>
      </c>
      <c r="G8" s="206">
        <f>18.4/100</f>
        <v>0.184</v>
      </c>
      <c r="H8" s="87"/>
      <c r="I8" s="87"/>
    </row>
    <row r="9" spans="1:9">
      <c r="A9" s="146" t="s">
        <v>169</v>
      </c>
      <c r="B9" s="150">
        <v>625861</v>
      </c>
      <c r="C9" s="175">
        <f>B9/B10</f>
        <v>0.27557117765915901</v>
      </c>
      <c r="D9" s="78">
        <f>B9/National!B9</f>
        <v>1.623065953877003E-2</v>
      </c>
      <c r="E9" s="1"/>
      <c r="F9" s="146" t="s">
        <v>31</v>
      </c>
      <c r="G9" s="207">
        <f>18.4/100</f>
        <v>0.184</v>
      </c>
      <c r="H9" s="87"/>
      <c r="I9" s="87"/>
    </row>
    <row r="10" spans="1:9">
      <c r="A10" s="9" t="s">
        <v>9</v>
      </c>
      <c r="B10" s="152">
        <f>SUM(B8:B9)</f>
        <v>2271141</v>
      </c>
      <c r="C10" s="176">
        <f>SUM(C8:C9)</f>
        <v>1</v>
      </c>
      <c r="D10" s="165"/>
      <c r="E10" s="1"/>
      <c r="F10" s="146" t="s">
        <v>33</v>
      </c>
      <c r="G10" s="205">
        <f>18.4/100</f>
        <v>0.184</v>
      </c>
      <c r="H10" s="87"/>
      <c r="I10" s="87"/>
    </row>
    <row r="11" spans="1:9">
      <c r="A11" s="146" t="s">
        <v>170</v>
      </c>
      <c r="B11" s="149">
        <v>38308</v>
      </c>
      <c r="C11" s="93">
        <f>B11/(B12+B11)</f>
        <v>2.3518779783721529E-2</v>
      </c>
      <c r="D11" s="77">
        <f>B11/National!B11</f>
        <v>1.0157511966391225E-2</v>
      </c>
      <c r="E11" s="1"/>
      <c r="G11" s="49"/>
      <c r="H11" s="87"/>
      <c r="I11" s="86"/>
    </row>
    <row r="12" spans="1:9" ht="23.25">
      <c r="A12" s="146" t="s">
        <v>171</v>
      </c>
      <c r="B12" s="150">
        <v>1590518</v>
      </c>
      <c r="C12" s="95">
        <f>B12/(B11+B12)</f>
        <v>0.97648122021627848</v>
      </c>
      <c r="D12" s="79">
        <f>B12/National!B12</f>
        <v>1.2030705128401986E-2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1155133</v>
      </c>
      <c r="H13" s="189">
        <f>G13/G$18</f>
        <v>0.55990757499231736</v>
      </c>
      <c r="I13" s="92">
        <f>+G13/National!G13</f>
        <v>8.4267166836483748E-3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870093</v>
      </c>
      <c r="H14" s="86">
        <f>G14/G$18</f>
        <v>0.4217450818631191</v>
      </c>
      <c r="I14" s="106">
        <f>+G14/National!G14</f>
        <v>7.8926022717724486E-3</v>
      </c>
    </row>
    <row r="15" spans="1:9">
      <c r="A15" s="146" t="s">
        <v>3</v>
      </c>
      <c r="B15" s="149">
        <v>63929</v>
      </c>
      <c r="C15" s="174">
        <f>B15/B$17</f>
        <v>0.85368426675212994</v>
      </c>
      <c r="D15" s="77">
        <f>B15/National!B15</f>
        <v>2.1472658459479758E-2</v>
      </c>
      <c r="E15" s="3"/>
      <c r="F15" s="146" t="s">
        <v>13</v>
      </c>
      <c r="G15" s="150">
        <v>9681</v>
      </c>
      <c r="H15" s="86">
        <f>G15/G$18</f>
        <v>4.6925031433615212E-3</v>
      </c>
      <c r="I15" s="106">
        <f>+G15/National!G15</f>
        <v>1.1479791487807539E-2</v>
      </c>
    </row>
    <row r="16" spans="1:9">
      <c r="A16" s="146" t="s">
        <v>2</v>
      </c>
      <c r="B16" s="150">
        <v>10957</v>
      </c>
      <c r="C16" s="175">
        <f>B16/B$17</f>
        <v>0.14631573324787009</v>
      </c>
      <c r="D16" s="78">
        <f>B16/National!B16</f>
        <v>1.0283048970475064E-2</v>
      </c>
      <c r="E16" s="1"/>
      <c r="F16" s="9" t="s">
        <v>1</v>
      </c>
      <c r="G16" s="162">
        <v>2034907</v>
      </c>
      <c r="H16" s="105"/>
      <c r="I16" s="106"/>
    </row>
    <row r="17" spans="1:9">
      <c r="A17" s="9" t="s">
        <v>1</v>
      </c>
      <c r="B17" s="154">
        <f>SUM(B15:B16)</f>
        <v>74886</v>
      </c>
      <c r="C17" s="176">
        <f>SUM(C15:C16)</f>
        <v>1</v>
      </c>
      <c r="D17" s="177">
        <f>B17/National!B17</f>
        <v>1.8523447301452865E-2</v>
      </c>
      <c r="E17" s="1"/>
      <c r="F17" s="108" t="s">
        <v>35</v>
      </c>
      <c r="G17" s="117">
        <v>28171</v>
      </c>
      <c r="H17" s="105">
        <f>G17/G$18</f>
        <v>1.3654840001202087E-2</v>
      </c>
      <c r="I17" s="106">
        <f>+G17/National!G17</f>
        <v>3.6555027052614531E-3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2063078</v>
      </c>
      <c r="H18" s="185">
        <f>SUM(H13:H17)</f>
        <v>1</v>
      </c>
      <c r="I18" s="186">
        <f>+G18/National!G18</f>
        <v>8.0629550487670738E-3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491+207</f>
        <v>698</v>
      </c>
      <c r="C20" s="174">
        <f>B20/B$26</f>
        <v>9.3207098695367689E-3</v>
      </c>
      <c r="D20" s="77">
        <f>B20/National!B20</f>
        <v>1.4930161921670125E-2</v>
      </c>
      <c r="E20" s="51"/>
      <c r="F20" s="163" t="s">
        <v>3</v>
      </c>
      <c r="G20" s="108">
        <f>563+61</f>
        <v>624</v>
      </c>
      <c r="H20" s="189">
        <f>G20/G$23</f>
        <v>0.79693486590038309</v>
      </c>
      <c r="I20" s="92">
        <f>+G20/National!G20</f>
        <v>2.9989907242754844E-2</v>
      </c>
    </row>
    <row r="21" spans="1:9">
      <c r="A21" s="146" t="s">
        <v>7</v>
      </c>
      <c r="B21" s="157">
        <f>1873+1031</f>
        <v>2904</v>
      </c>
      <c r="C21" s="175">
        <f t="shared" ref="C21:C25" si="0">B21/B$26</f>
        <v>3.8778426162084205E-2</v>
      </c>
      <c r="D21" s="78">
        <f>B21/National!B21</f>
        <v>1.8206211678557547E-2</v>
      </c>
      <c r="E21" s="51"/>
      <c r="F21" s="163" t="s">
        <v>2</v>
      </c>
      <c r="G21" s="198">
        <f>116+40</f>
        <v>156</v>
      </c>
      <c r="H21" s="86">
        <f t="shared" ref="H21:H22" si="1">G21/G$23</f>
        <v>0.19923371647509577</v>
      </c>
      <c r="I21" s="106">
        <f>+G21/National!G21</f>
        <v>9.7768864377036843E-3</v>
      </c>
    </row>
    <row r="22" spans="1:9">
      <c r="A22" s="146" t="s">
        <v>6</v>
      </c>
      <c r="B22" s="157">
        <f>3684+934</f>
        <v>4618</v>
      </c>
      <c r="C22" s="175">
        <f t="shared" si="0"/>
        <v>6.1666243807336388E-2</v>
      </c>
      <c r="D22" s="78">
        <f>B22/National!B22</f>
        <v>1.9146333879226353E-2</v>
      </c>
      <c r="E22" s="51"/>
      <c r="F22" s="163" t="s">
        <v>28</v>
      </c>
      <c r="G22" s="181">
        <v>3</v>
      </c>
      <c r="H22" s="86">
        <f t="shared" si="1"/>
        <v>3.8314176245210726E-3</v>
      </c>
      <c r="I22" s="106">
        <f>+G22/National!G22</f>
        <v>6.024096385542169E-3</v>
      </c>
    </row>
    <row r="23" spans="1:9">
      <c r="A23" s="146" t="s">
        <v>30</v>
      </c>
      <c r="B23" s="157">
        <f>11799+2306+1433</f>
        <v>15538</v>
      </c>
      <c r="C23" s="175">
        <f t="shared" si="0"/>
        <v>0.20748594549120675</v>
      </c>
      <c r="D23" s="78">
        <f>B23/National!B23</f>
        <v>1.9552352058105897E-2</v>
      </c>
      <c r="E23" s="51"/>
      <c r="F23" s="9" t="s">
        <v>1</v>
      </c>
      <c r="G23" s="197">
        <f>SUM(G20:G22)</f>
        <v>783</v>
      </c>
      <c r="H23" s="132">
        <f>SUM(H20:H22)</f>
        <v>1</v>
      </c>
      <c r="I23" s="133">
        <f>+G23/National!G23</f>
        <v>2.1013928772711413E-2</v>
      </c>
    </row>
    <row r="24" spans="1:9">
      <c r="A24" s="146" t="s">
        <v>8</v>
      </c>
      <c r="B24" s="157">
        <f>43776+7286</f>
        <v>51062</v>
      </c>
      <c r="C24" s="175">
        <f t="shared" si="0"/>
        <v>0.68185399334998065</v>
      </c>
      <c r="D24" s="78">
        <f>B24/National!B24</f>
        <v>1.830635886228249E-2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67</v>
      </c>
      <c r="C25" s="175">
        <f t="shared" si="0"/>
        <v>8.9468131985524855E-4</v>
      </c>
      <c r="D25" s="78">
        <f>B25/National!B25</f>
        <v>5.9108954565505077E-3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74887</v>
      </c>
      <c r="C26" s="176">
        <f>SUM(C20:C25)</f>
        <v>1</v>
      </c>
      <c r="D26" s="177">
        <f>B26/National!B26</f>
        <v>1.8523648837507279E-2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1370997</v>
      </c>
      <c r="H27" s="87"/>
      <c r="I27" s="113">
        <f>+G27/National!G27</f>
        <v>9.9290630263827156E-3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1346052</v>
      </c>
      <c r="H28" s="87"/>
      <c r="I28" s="114">
        <f>+G28/National!G28</f>
        <v>1.0122163476671518E-2</v>
      </c>
    </row>
    <row r="29" spans="1:9">
      <c r="A29" s="146" t="s">
        <v>91</v>
      </c>
      <c r="B29" s="149">
        <f>9564+1409</f>
        <v>10973</v>
      </c>
      <c r="C29" s="174">
        <f>B29/B$34</f>
        <v>0.14652939134150575</v>
      </c>
      <c r="D29" s="77">
        <f>B29/National!B29</f>
        <v>1.4072765933979966E-2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51041+2113</f>
        <v>53154</v>
      </c>
      <c r="C30" s="175">
        <f t="shared" ref="C30:C33" si="2">B30/B$34</f>
        <v>0.70979889431936538</v>
      </c>
      <c r="D30" s="78">
        <f>B30/National!B30</f>
        <v>2.9727423119986846E-2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2504+7380</f>
        <v>9884</v>
      </c>
      <c r="C31" s="175">
        <f t="shared" si="2"/>
        <v>0.13198728734342868</v>
      </c>
      <c r="D31" s="78">
        <f>B31/National!B31</f>
        <v>7.6832188053854045E-3</v>
      </c>
      <c r="E31" s="51"/>
      <c r="F31" s="163" t="s">
        <v>16</v>
      </c>
      <c r="G31" s="168">
        <v>943291</v>
      </c>
      <c r="H31" s="92">
        <f>G31/G$38</f>
        <v>0.47417355631549607</v>
      </c>
      <c r="I31" s="112">
        <f>+G31/National!G31</f>
        <v>2.23307344715638E-2</v>
      </c>
    </row>
    <row r="32" spans="1:9">
      <c r="A32" s="146" t="s">
        <v>94</v>
      </c>
      <c r="B32" s="157">
        <f>84+5</f>
        <v>89</v>
      </c>
      <c r="C32" s="175">
        <f t="shared" si="2"/>
        <v>1.1884731458483562E-3</v>
      </c>
      <c r="D32" s="78">
        <f>B32/National!B32</f>
        <v>1.5609379658698282E-3</v>
      </c>
      <c r="E32" s="51"/>
      <c r="F32" s="163" t="s">
        <v>17</v>
      </c>
      <c r="G32" s="169">
        <v>550191</v>
      </c>
      <c r="H32" s="106">
        <f t="shared" ref="H32:H37" si="3">G32/G$38</f>
        <v>0.27657003313164136</v>
      </c>
      <c r="I32" s="113">
        <f>+G32/National!G32</f>
        <v>8.8437754305901676E-3</v>
      </c>
    </row>
    <row r="33" spans="1:9">
      <c r="A33" s="146" t="s">
        <v>95</v>
      </c>
      <c r="B33" s="150">
        <f>736+50</f>
        <v>786</v>
      </c>
      <c r="C33" s="175">
        <f t="shared" si="2"/>
        <v>1.0495953849851775E-2</v>
      </c>
      <c r="D33" s="78">
        <f>B33/National!B33</f>
        <v>5.9757321412279903E-3</v>
      </c>
      <c r="E33" s="51"/>
      <c r="F33" s="163" t="s">
        <v>18</v>
      </c>
      <c r="G33" s="169">
        <v>111384</v>
      </c>
      <c r="H33" s="106">
        <f t="shared" si="3"/>
        <v>5.5990513422311053E-2</v>
      </c>
      <c r="I33" s="113">
        <f>+G33/National!G33</f>
        <v>3.5062440097651274E-3</v>
      </c>
    </row>
    <row r="34" spans="1:9">
      <c r="A34" s="9" t="s">
        <v>1</v>
      </c>
      <c r="B34" s="154">
        <f>SUM(B29:B33)</f>
        <v>74886</v>
      </c>
      <c r="C34" s="176">
        <f>SUM(C29:C33)</f>
        <v>1</v>
      </c>
      <c r="D34" s="180">
        <f>B34/National!B34</f>
        <v>1.8523447301452865E-2</v>
      </c>
      <c r="E34" s="51"/>
      <c r="F34" s="163" t="s">
        <v>19</v>
      </c>
      <c r="G34" s="169">
        <v>122476</v>
      </c>
      <c r="H34" s="106">
        <f t="shared" si="3"/>
        <v>6.1566240410749914E-2</v>
      </c>
      <c r="I34" s="113">
        <f>+G34/National!G34</f>
        <v>1.4261367897087502E-2</v>
      </c>
    </row>
    <row r="35" spans="1:9">
      <c r="B35" s="49"/>
      <c r="C35" s="96"/>
      <c r="D35" s="96"/>
      <c r="E35" s="51"/>
      <c r="F35" s="163" t="s">
        <v>20</v>
      </c>
      <c r="G35" s="169">
        <v>115308</v>
      </c>
      <c r="H35" s="106">
        <f t="shared" si="3"/>
        <v>5.796302989387922E-2</v>
      </c>
      <c r="I35" s="113">
        <f>+G35/National!G35</f>
        <v>8.6489279186250101E-3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17898</v>
      </c>
      <c r="H36" s="106">
        <f t="shared" si="3"/>
        <v>8.9969673313269691E-3</v>
      </c>
      <c r="I36" s="113">
        <f>+G36/National!G36</f>
        <v>1.1313118850135055E-3</v>
      </c>
    </row>
    <row r="37" spans="1:9">
      <c r="A37" s="146" t="s">
        <v>5</v>
      </c>
      <c r="B37" s="149">
        <f>1973+909</f>
        <v>2882</v>
      </c>
      <c r="C37" s="174">
        <f>B37/B$43</f>
        <v>1.8449404971480881E-2</v>
      </c>
      <c r="D37" s="77">
        <f>B37/National!B37</f>
        <v>1.3493267412026893E-2</v>
      </c>
      <c r="E37" s="51"/>
      <c r="F37" s="163" t="s">
        <v>22</v>
      </c>
      <c r="G37" s="170">
        <v>128789</v>
      </c>
      <c r="H37" s="106">
        <f t="shared" si="3"/>
        <v>6.4739659494595439E-2</v>
      </c>
      <c r="I37" s="114">
        <f>+G37/National!G37</f>
        <v>5.0198067388632136E-3</v>
      </c>
    </row>
    <row r="38" spans="1:9">
      <c r="A38" s="146" t="s">
        <v>7</v>
      </c>
      <c r="B38" s="157">
        <f>6292+3393</f>
        <v>9685</v>
      </c>
      <c r="C38" s="175">
        <f t="shared" ref="C38:C42" si="4">B38/B$43</f>
        <v>6.1999475068977218E-2</v>
      </c>
      <c r="D38" s="78">
        <f>B38/National!B38</f>
        <v>2.0281957957605786E-2</v>
      </c>
      <c r="E38" s="51"/>
      <c r="F38" s="47" t="s">
        <v>1</v>
      </c>
      <c r="G38" s="187">
        <f>SUM(G31:G37)</f>
        <v>1989337</v>
      </c>
      <c r="H38" s="188">
        <f>SUM(H31:H37)</f>
        <v>1</v>
      </c>
      <c r="I38" s="188">
        <f>+G38/National!G39</f>
        <v>9.8834400271737132E-3</v>
      </c>
    </row>
    <row r="39" spans="1:9">
      <c r="A39" s="146" t="s">
        <v>6</v>
      </c>
      <c r="B39" s="157">
        <f>7656+2181</f>
        <v>9837</v>
      </c>
      <c r="C39" s="175">
        <f t="shared" si="4"/>
        <v>6.2972517940477937E-2</v>
      </c>
      <c r="D39" s="78">
        <f>B39/National!B39</f>
        <v>1.7798565186317703E-2</v>
      </c>
      <c r="E39" s="51"/>
      <c r="H39" s="87"/>
      <c r="I39" s="87"/>
    </row>
    <row r="40" spans="1:9" ht="23.25">
      <c r="A40" s="146" t="s">
        <v>30</v>
      </c>
      <c r="B40" s="157">
        <f>23813+4611+2998</f>
        <v>31422</v>
      </c>
      <c r="C40" s="175">
        <f t="shared" si="4"/>
        <v>0.20115100729141994</v>
      </c>
      <c r="D40" s="78">
        <f>B40/National!B40</f>
        <v>1.9531400539783215E-2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14573+87551</f>
        <v>102124</v>
      </c>
      <c r="C41" s="175">
        <f t="shared" si="4"/>
        <v>0.65375677769171181</v>
      </c>
      <c r="D41" s="78">
        <f>B41/National!B41</f>
        <v>1.8306371988404267E-2</v>
      </c>
      <c r="E41" s="51"/>
      <c r="F41" s="163" t="s">
        <v>38</v>
      </c>
      <c r="G41" s="168">
        <v>1290377</v>
      </c>
      <c r="H41" s="189">
        <f>G41/G$47</f>
        <v>0.65092017762406873</v>
      </c>
      <c r="I41" s="113">
        <f>+G41/National!G42</f>
        <v>1.4228763247463907E-2</v>
      </c>
    </row>
    <row r="42" spans="1:9">
      <c r="A42" s="156" t="s">
        <v>29</v>
      </c>
      <c r="B42" s="150">
        <v>261</v>
      </c>
      <c r="C42" s="175">
        <f t="shared" si="4"/>
        <v>1.6708170359321687E-3</v>
      </c>
      <c r="D42" s="78">
        <f>B42/National!B42</f>
        <v>4.9450549450549448E-3</v>
      </c>
      <c r="E42" s="51"/>
      <c r="F42" s="163" t="s">
        <v>39</v>
      </c>
      <c r="G42" s="169">
        <v>449535</v>
      </c>
      <c r="H42" s="86">
        <f t="shared" ref="H42:H46" si="5">G42/G$47</f>
        <v>0.22676427280417719</v>
      </c>
      <c r="I42" s="113">
        <f>+G42/National!G43</f>
        <v>1.0093822125493736E-2</v>
      </c>
    </row>
    <row r="43" spans="1:9">
      <c r="A43" s="9" t="s">
        <v>1</v>
      </c>
      <c r="B43" s="154">
        <f>SUM(B37:B42)</f>
        <v>156211</v>
      </c>
      <c r="C43" s="178">
        <f>SUM(C37:C42)</f>
        <v>1</v>
      </c>
      <c r="D43" s="179">
        <f>B43/National!B43</f>
        <v>1.8412490663273287E-2</v>
      </c>
      <c r="E43" s="51"/>
      <c r="F43" s="163" t="s">
        <v>40</v>
      </c>
      <c r="G43" s="169">
        <v>86050</v>
      </c>
      <c r="H43" s="86">
        <f t="shared" si="5"/>
        <v>4.3407222295926785E-2</v>
      </c>
      <c r="I43" s="113">
        <f>+G43/National!G44</f>
        <v>6.5682134344962877E-3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48308</v>
      </c>
      <c r="H44" s="86">
        <f t="shared" si="5"/>
        <v>2.436857750925777E-2</v>
      </c>
      <c r="I44" s="113">
        <f>+G44/National!G45</f>
        <v>3.2812339743698597E-3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31729</v>
      </c>
      <c r="H45" s="86">
        <f t="shared" si="5"/>
        <v>1.6005435865513781E-2</v>
      </c>
      <c r="I45" s="113">
        <f>+G45/National!G46</f>
        <v>3.8141066288569763E-3</v>
      </c>
    </row>
    <row r="46" spans="1:9">
      <c r="A46" s="8" t="s">
        <v>3</v>
      </c>
      <c r="B46" s="52">
        <v>26668</v>
      </c>
      <c r="C46" s="93">
        <f>B46/B$48</f>
        <v>0.61009814463178602</v>
      </c>
      <c r="D46" s="77">
        <f>B46/National!B48</f>
        <v>2.6926004979715635E-2</v>
      </c>
      <c r="E46" s="51"/>
      <c r="F46" s="163" t="s">
        <v>43</v>
      </c>
      <c r="G46" s="170">
        <v>76390</v>
      </c>
      <c r="H46" s="86">
        <f t="shared" si="5"/>
        <v>3.8534313901055745E-2</v>
      </c>
      <c r="I46" s="113">
        <f>+G46/National!G47</f>
        <v>9.5894777105212971E-3</v>
      </c>
    </row>
    <row r="47" spans="1:9">
      <c r="A47" s="8" t="s">
        <v>2</v>
      </c>
      <c r="B47" s="52">
        <v>17043</v>
      </c>
      <c r="C47" s="97">
        <f>B47/B$48</f>
        <v>0.38990185536821392</v>
      </c>
      <c r="D47" s="78">
        <f>B47/National!B49</f>
        <v>8.5941593199706928E-3</v>
      </c>
      <c r="E47" s="51"/>
      <c r="F47" s="9" t="s">
        <v>1</v>
      </c>
      <c r="G47" s="191">
        <f>SUM(G41:G46)</f>
        <v>1982389</v>
      </c>
      <c r="H47" s="182">
        <f>SUM(H41:H46)</f>
        <v>1</v>
      </c>
      <c r="I47" s="188">
        <f>+G47/National!G49</f>
        <v>1.0927106403266967E-2</v>
      </c>
    </row>
    <row r="48" spans="1:9">
      <c r="A48" s="9" t="s">
        <v>1</v>
      </c>
      <c r="B48" s="155">
        <f>SUM(B46:B47)</f>
        <v>43711</v>
      </c>
      <c r="C48" s="165">
        <f>SUM(C46:C47)</f>
        <v>1</v>
      </c>
      <c r="D48" s="177">
        <f>B48/National!B50</f>
        <v>1.4700140473763489E-2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412099</v>
      </c>
      <c r="H50" s="189">
        <f>G50/G$52</f>
        <v>0.86499460557745511</v>
      </c>
      <c r="I50" s="113">
        <f>+G50/National!G52</f>
        <v>1.3148583953736782E-2</v>
      </c>
    </row>
    <row r="51" spans="1:9">
      <c r="A51" s="146" t="s">
        <v>5</v>
      </c>
      <c r="B51" s="149">
        <f>4103+3479</f>
        <v>7582</v>
      </c>
      <c r="C51" s="174">
        <f>B51/B$57</f>
        <v>0.17345748209832765</v>
      </c>
      <c r="D51" s="77">
        <f>B51/National!B53</f>
        <v>1.0539616698244741E-2</v>
      </c>
      <c r="E51" s="51"/>
      <c r="F51" s="163" t="s">
        <v>97</v>
      </c>
      <c r="G51" s="194">
        <v>64319</v>
      </c>
      <c r="H51" s="86">
        <f>G51/G$52</f>
        <v>0.13500539442254492</v>
      </c>
      <c r="I51" s="113">
        <f>+G51/National!G53</f>
        <v>1.2754542041960162E-2</v>
      </c>
    </row>
    <row r="52" spans="1:9">
      <c r="A52" s="146" t="s">
        <v>7</v>
      </c>
      <c r="B52" s="157">
        <f>5691+5438</f>
        <v>11129</v>
      </c>
      <c r="C52" s="175">
        <f t="shared" ref="C52:C56" si="6">B52/B$57</f>
        <v>0.25460410423005653</v>
      </c>
      <c r="D52" s="78">
        <f>B52/National!B54</f>
        <v>1.6249870412795478E-2</v>
      </c>
      <c r="E52" s="51"/>
      <c r="F52" s="60" t="s">
        <v>1</v>
      </c>
      <c r="G52" s="190">
        <f>SUM(G50:G51)</f>
        <v>476418</v>
      </c>
      <c r="H52" s="185">
        <f>SUM(H50:H51)</f>
        <v>1</v>
      </c>
      <c r="I52" s="192">
        <f>+G52/National!G54</f>
        <v>1.3093970451675166E-2</v>
      </c>
    </row>
    <row r="53" spans="1:9">
      <c r="A53" s="146" t="s">
        <v>6</v>
      </c>
      <c r="B53" s="157">
        <f>3749+2374</f>
        <v>6123</v>
      </c>
      <c r="C53" s="175">
        <f t="shared" si="6"/>
        <v>0.14007915627645215</v>
      </c>
      <c r="D53" s="78">
        <f>B53/National!B55</f>
        <v>1.1574494147536521E-2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4798+492+1684</f>
        <v>6974</v>
      </c>
      <c r="C54" s="175">
        <f t="shared" si="6"/>
        <v>0.15954793987783394</v>
      </c>
      <c r="D54" s="78">
        <f>B54/National!B56</f>
        <v>1.6742408419698138E-2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7835+3543</f>
        <v>11378</v>
      </c>
      <c r="C55" s="175">
        <f t="shared" si="6"/>
        <v>0.26030061083022582</v>
      </c>
      <c r="D55" s="78">
        <f>B55/National!B57</f>
        <v>2.8368263846295771E-2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525</v>
      </c>
      <c r="C56" s="175">
        <f t="shared" si="6"/>
        <v>1.2010706687103932E-2</v>
      </c>
      <c r="D56" s="78">
        <f>B56/National!B58</f>
        <v>2.3582363087537731E-3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43711</v>
      </c>
      <c r="C57" s="178">
        <f>SUM(C51:C56)</f>
        <v>1</v>
      </c>
      <c r="D57" s="177">
        <f>B57/National!B59</f>
        <v>1.4700140473763489E-2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65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5911605</v>
      </c>
      <c r="C4" s="99"/>
      <c r="D4" s="77">
        <f>B4/National!B4</f>
        <v>1.944224944438876E-2</v>
      </c>
      <c r="E4" s="1"/>
      <c r="F4" s="146" t="s">
        <v>10</v>
      </c>
      <c r="G4" s="195">
        <v>2065693</v>
      </c>
      <c r="H4" s="189">
        <f>G4/G$6</f>
        <v>0.49222052087816043</v>
      </c>
      <c r="I4" s="112">
        <f>+G4/National!G4</f>
        <v>1.9935626729221466E-2</v>
      </c>
    </row>
    <row r="5" spans="1:9">
      <c r="A5" s="8" t="s">
        <v>167</v>
      </c>
      <c r="B5" s="50">
        <f>66631+2255</f>
        <v>68886</v>
      </c>
      <c r="C5" s="100"/>
      <c r="D5" s="79">
        <f>B5/National!B5</f>
        <v>1.9473398990965504E-2</v>
      </c>
      <c r="E5" s="1"/>
      <c r="F5" s="146" t="s">
        <v>11</v>
      </c>
      <c r="G5" s="196">
        <v>2130989</v>
      </c>
      <c r="H5" s="86">
        <f>G5/G$6</f>
        <v>0.50777947912183963</v>
      </c>
      <c r="I5" s="113">
        <f>+G5/National!G5</f>
        <v>2.0352811456474284E-2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4196682</v>
      </c>
      <c r="H6" s="182">
        <f>SUM(H4:H5)</f>
        <v>1</v>
      </c>
      <c r="I6" s="183">
        <f>+G6/National!G6</f>
        <v>2.0145304784330954E-2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3208754</v>
      </c>
      <c r="C8" s="174">
        <f>B8/B10</f>
        <v>0.76300713010994181</v>
      </c>
      <c r="D8" s="77">
        <f>B8/National!B8</f>
        <v>2.348909284281224E-2</v>
      </c>
      <c r="E8" s="1"/>
      <c r="F8" s="146" t="s">
        <v>32</v>
      </c>
      <c r="G8" s="206">
        <f>17/100</f>
        <v>0.17</v>
      </c>
      <c r="H8" s="87"/>
      <c r="I8" s="87"/>
    </row>
    <row r="9" spans="1:9">
      <c r="A9" s="146" t="s">
        <v>169</v>
      </c>
      <c r="B9" s="150">
        <v>996651</v>
      </c>
      <c r="C9" s="175">
        <f>B9/B10</f>
        <v>0.23699286989005816</v>
      </c>
      <c r="D9" s="78">
        <f>B9/National!B9</f>
        <v>2.5846478786782829E-2</v>
      </c>
      <c r="E9" s="1"/>
      <c r="F9" s="146" t="s">
        <v>31</v>
      </c>
      <c r="G9" s="207">
        <f>17/100</f>
        <v>0.17</v>
      </c>
      <c r="H9" s="87"/>
      <c r="I9" s="87"/>
    </row>
    <row r="10" spans="1:9">
      <c r="A10" s="9" t="s">
        <v>9</v>
      </c>
      <c r="B10" s="152">
        <f>SUM(B8:B9)</f>
        <v>4205405</v>
      </c>
      <c r="C10" s="176">
        <f>SUM(C8:C9)</f>
        <v>1</v>
      </c>
      <c r="D10" s="165"/>
      <c r="E10" s="1"/>
      <c r="F10" s="146" t="s">
        <v>33</v>
      </c>
      <c r="G10" s="205">
        <f>17/100</f>
        <v>0.17</v>
      </c>
      <c r="H10" s="87"/>
      <c r="I10" s="87"/>
    </row>
    <row r="11" spans="1:9">
      <c r="A11" s="146" t="s">
        <v>170</v>
      </c>
      <c r="B11" s="149">
        <v>71576</v>
      </c>
      <c r="C11" s="93">
        <f>B11/(B12+B11)</f>
        <v>2.2552451243116597E-2</v>
      </c>
      <c r="D11" s="77">
        <f>B11/National!B11</f>
        <v>1.8978648754996823E-2</v>
      </c>
      <c r="E11" s="1"/>
      <c r="G11" s="49"/>
      <c r="H11" s="87"/>
      <c r="I11" s="86"/>
    </row>
    <row r="12" spans="1:9" ht="23.25">
      <c r="A12" s="146" t="s">
        <v>171</v>
      </c>
      <c r="B12" s="150">
        <v>3102181</v>
      </c>
      <c r="C12" s="95">
        <f>B12/(B11+B12)</f>
        <v>0.97744754875688344</v>
      </c>
      <c r="D12" s="79">
        <f>B12/National!B12</f>
        <v>2.3464949699362851E-2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2620559</v>
      </c>
      <c r="H13" s="189">
        <f>G13/G$18</f>
        <v>0.5278276007437156</v>
      </c>
      <c r="I13" s="92">
        <f>+G13/National!G13</f>
        <v>1.9117026563854469E-2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2234560</v>
      </c>
      <c r="H14" s="86">
        <f>G14/G$18</f>
        <v>0.4500804765387374</v>
      </c>
      <c r="I14" s="106">
        <f>+G14/National!G14</f>
        <v>2.0269664659308653E-2</v>
      </c>
    </row>
    <row r="15" spans="1:9">
      <c r="A15" s="146" t="s">
        <v>3</v>
      </c>
      <c r="B15" s="149">
        <v>106765</v>
      </c>
      <c r="C15" s="174">
        <f>B15/B$17</f>
        <v>0.82306097119113142</v>
      </c>
      <c r="D15" s="77">
        <f>B15/National!B15</f>
        <v>3.5860538729314648E-2</v>
      </c>
      <c r="E15" s="3"/>
      <c r="F15" s="146" t="s">
        <v>13</v>
      </c>
      <c r="G15" s="150">
        <v>10657</v>
      </c>
      <c r="H15" s="86">
        <f>G15/G$18</f>
        <v>2.1465110081954944E-3</v>
      </c>
      <c r="I15" s="106">
        <f>+G15/National!G15</f>
        <v>1.263713850692748E-2</v>
      </c>
    </row>
    <row r="16" spans="1:9">
      <c r="A16" s="146" t="s">
        <v>2</v>
      </c>
      <c r="B16" s="150">
        <v>22952</v>
      </c>
      <c r="C16" s="175">
        <f>B16/B$17</f>
        <v>0.17693902880886853</v>
      </c>
      <c r="D16" s="78">
        <f>B16/National!B16</f>
        <v>2.1540251891059931E-2</v>
      </c>
      <c r="E16" s="1"/>
      <c r="F16" s="9" t="s">
        <v>1</v>
      </c>
      <c r="G16" s="162">
        <v>4865776</v>
      </c>
      <c r="H16" s="105"/>
      <c r="I16" s="106"/>
    </row>
    <row r="17" spans="1:9">
      <c r="A17" s="9" t="s">
        <v>1</v>
      </c>
      <c r="B17" s="154">
        <f>SUM(B15:B16)</f>
        <v>129717</v>
      </c>
      <c r="C17" s="176">
        <f>SUM(C15:C16)</f>
        <v>1</v>
      </c>
      <c r="D17" s="177">
        <f>B17/National!B17</f>
        <v>3.2086184515163867E-2</v>
      </c>
      <c r="E17" s="1"/>
      <c r="F17" s="108" t="s">
        <v>35</v>
      </c>
      <c r="G17" s="117">
        <v>99025</v>
      </c>
      <c r="H17" s="105">
        <f>G17/G$18</f>
        <v>1.9945411709351494E-2</v>
      </c>
      <c r="I17" s="106">
        <f>+G17/National!G17</f>
        <v>1.2849602619307636E-2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4964801</v>
      </c>
      <c r="H18" s="185">
        <f>SUM(H13:H17)</f>
        <v>1</v>
      </c>
      <c r="I18" s="186">
        <f>+G18/National!G18</f>
        <v>1.9403516148722356E-2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722+459</f>
        <v>1181</v>
      </c>
      <c r="C20" s="174">
        <f>B20/B$26</f>
        <v>9.1043648529887909E-3</v>
      </c>
      <c r="D20" s="77">
        <f>B20/National!B20</f>
        <v>2.526149173279716E-2</v>
      </c>
      <c r="E20" s="51"/>
      <c r="F20" s="163" t="s">
        <v>3</v>
      </c>
      <c r="G20" s="108">
        <f>496+108</f>
        <v>604</v>
      </c>
      <c r="H20" s="189">
        <f>G20/G$23</f>
        <v>0.62916666666666665</v>
      </c>
      <c r="I20" s="92">
        <f>+G20/National!G20</f>
        <v>2.9028692267025522E-2</v>
      </c>
    </row>
    <row r="21" spans="1:9">
      <c r="A21" s="146" t="s">
        <v>7</v>
      </c>
      <c r="B21" s="157">
        <f>3136+1177</f>
        <v>4313</v>
      </c>
      <c r="C21" s="175">
        <f t="shared" ref="C21:C25" si="0">B21/B$26</f>
        <v>3.3249047934750767E-2</v>
      </c>
      <c r="D21" s="78">
        <f>B21/National!B21</f>
        <v>2.7039735182375586E-2</v>
      </c>
      <c r="E21" s="51"/>
      <c r="F21" s="163" t="s">
        <v>2</v>
      </c>
      <c r="G21" s="198">
        <f>305+49</f>
        <v>354</v>
      </c>
      <c r="H21" s="86">
        <f t="shared" ref="H21:H22" si="1">G21/G$23</f>
        <v>0.36875000000000002</v>
      </c>
      <c r="I21" s="106">
        <f>+G21/National!G21</f>
        <v>2.2186011531712208E-2</v>
      </c>
    </row>
    <row r="22" spans="1:9">
      <c r="A22" s="146" t="s">
        <v>6</v>
      </c>
      <c r="B22" s="157">
        <f>3970+1932</f>
        <v>5902</v>
      </c>
      <c r="C22" s="175">
        <f t="shared" si="0"/>
        <v>4.5498697173869472E-2</v>
      </c>
      <c r="D22" s="78">
        <f>B22/National!B22</f>
        <v>2.4469827318145069E-2</v>
      </c>
      <c r="E22" s="51"/>
      <c r="F22" s="163" t="s">
        <v>28</v>
      </c>
      <c r="G22" s="181">
        <v>2</v>
      </c>
      <c r="H22" s="86">
        <f t="shared" si="1"/>
        <v>2.0833333333333333E-3</v>
      </c>
      <c r="I22" s="106">
        <f>+G22/National!G22</f>
        <v>4.0160642570281121E-3</v>
      </c>
    </row>
    <row r="23" spans="1:9">
      <c r="A23" s="146" t="s">
        <v>30</v>
      </c>
      <c r="B23" s="157">
        <f>16465+6203+2285</f>
        <v>24953</v>
      </c>
      <c r="C23" s="175">
        <f t="shared" si="0"/>
        <v>0.19236343452720517</v>
      </c>
      <c r="D23" s="78">
        <f>B23/National!B23</f>
        <v>3.1399783814256434E-2</v>
      </c>
      <c r="E23" s="51"/>
      <c r="F23" s="9" t="s">
        <v>1</v>
      </c>
      <c r="G23" s="197">
        <f>SUM(G20:G22)</f>
        <v>960</v>
      </c>
      <c r="H23" s="132">
        <f>SUM(H20:H22)</f>
        <v>1</v>
      </c>
      <c r="I23" s="133">
        <f>+G23/National!G23</f>
        <v>2.5764203859263035E-2</v>
      </c>
    </row>
    <row r="24" spans="1:9">
      <c r="A24" s="146" t="s">
        <v>8</v>
      </c>
      <c r="B24" s="157">
        <f>76269+16697</f>
        <v>92966</v>
      </c>
      <c r="C24" s="175">
        <f t="shared" si="0"/>
        <v>0.71667771627684673</v>
      </c>
      <c r="D24" s="78">
        <f>B24/National!B24</f>
        <v>3.3329461399689675E-2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403</v>
      </c>
      <c r="C25" s="175">
        <f t="shared" si="0"/>
        <v>3.1067392343391048E-3</v>
      </c>
      <c r="D25" s="78">
        <f>B25/National!B25</f>
        <v>3.5553595059550067E-2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129718</v>
      </c>
      <c r="C26" s="176">
        <f>SUM(C20:C25)</f>
        <v>1</v>
      </c>
      <c r="D26" s="177">
        <f>B26/National!B26</f>
        <v>3.2086352503155009E-2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2870403</v>
      </c>
      <c r="H27" s="87"/>
      <c r="I27" s="113">
        <f>+G27/National!G27</f>
        <v>2.0788092386867386E-2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2544619</v>
      </c>
      <c r="H28" s="87"/>
      <c r="I28" s="114">
        <f>+G28/National!G28</f>
        <v>1.9135255921646714E-2</v>
      </c>
    </row>
    <row r="29" spans="1:9">
      <c r="A29" s="146" t="s">
        <v>91</v>
      </c>
      <c r="B29" s="149">
        <f>30999+2678</f>
        <v>33677</v>
      </c>
      <c r="C29" s="174">
        <f>B29/B$34</f>
        <v>0.25961701537180654</v>
      </c>
      <c r="D29" s="77">
        <f>B29/National!B29</f>
        <v>4.3190425440503354E-2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69394+3630</f>
        <v>73024</v>
      </c>
      <c r="C30" s="175">
        <f t="shared" ref="C30:C33" si="2">B30/B$34</f>
        <v>0.56294423287438911</v>
      </c>
      <c r="D30" s="78">
        <f>B30/National!B30</f>
        <v>4.0840112614552421E-2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5039+16645</f>
        <v>21684</v>
      </c>
      <c r="C31" s="175">
        <f t="shared" si="2"/>
        <v>0.16716261428637505</v>
      </c>
      <c r="D31" s="78">
        <f>B31/National!B31</f>
        <v>1.6855819159851994E-2</v>
      </c>
      <c r="E31" s="51"/>
      <c r="F31" s="163" t="s">
        <v>16</v>
      </c>
      <c r="G31" s="168">
        <v>829090</v>
      </c>
      <c r="H31" s="92">
        <f>G31/G$38</f>
        <v>0.15012792081638995</v>
      </c>
      <c r="I31" s="112">
        <f>+G31/National!G31</f>
        <v>1.9627229182753607E-2</v>
      </c>
    </row>
    <row r="32" spans="1:9">
      <c r="A32" s="146" t="s">
        <v>94</v>
      </c>
      <c r="B32" s="157">
        <f>0</f>
        <v>0</v>
      </c>
      <c r="C32" s="175">
        <f t="shared" si="2"/>
        <v>0</v>
      </c>
      <c r="D32" s="78">
        <f>B32/National!B32</f>
        <v>0</v>
      </c>
      <c r="E32" s="51"/>
      <c r="F32" s="163" t="s">
        <v>17</v>
      </c>
      <c r="G32" s="169">
        <v>1007076</v>
      </c>
      <c r="H32" s="106">
        <f t="shared" ref="H32:H37" si="3">G32/G$38</f>
        <v>0.18235683217031531</v>
      </c>
      <c r="I32" s="113">
        <f>+G32/National!G32</f>
        <v>1.6187749318940195E-2</v>
      </c>
    </row>
    <row r="33" spans="1:9">
      <c r="A33" s="146" t="s">
        <v>95</v>
      </c>
      <c r="B33" s="150">
        <f>1333</f>
        <v>1333</v>
      </c>
      <c r="C33" s="175">
        <f t="shared" si="2"/>
        <v>1.0276137467429346E-2</v>
      </c>
      <c r="D33" s="78">
        <f>B33/National!B33</f>
        <v>1.013441595961439E-2</v>
      </c>
      <c r="E33" s="51"/>
      <c r="F33" s="163" t="s">
        <v>18</v>
      </c>
      <c r="G33" s="169">
        <v>168427</v>
      </c>
      <c r="H33" s="106">
        <f t="shared" si="3"/>
        <v>3.0498010251410714E-2</v>
      </c>
      <c r="I33" s="113">
        <f>+G33/National!G33</f>
        <v>5.3018939868626656E-3</v>
      </c>
    </row>
    <row r="34" spans="1:9">
      <c r="A34" s="9" t="s">
        <v>1</v>
      </c>
      <c r="B34" s="154">
        <f>SUM(B29:B33)</f>
        <v>129718</v>
      </c>
      <c r="C34" s="176">
        <f>SUM(C29:C33)</f>
        <v>1</v>
      </c>
      <c r="D34" s="180">
        <f>B34/National!B34</f>
        <v>3.2086431870441245E-2</v>
      </c>
      <c r="E34" s="51"/>
      <c r="F34" s="163" t="s">
        <v>19</v>
      </c>
      <c r="G34" s="169">
        <v>153331</v>
      </c>
      <c r="H34" s="106">
        <f t="shared" si="3"/>
        <v>2.7764493874848192E-2</v>
      </c>
      <c r="I34" s="113">
        <f>+G34/National!G34</f>
        <v>1.7854190217090074E-2</v>
      </c>
    </row>
    <row r="35" spans="1:9">
      <c r="B35" s="49"/>
      <c r="C35" s="96"/>
      <c r="D35" s="96"/>
      <c r="E35" s="51"/>
      <c r="F35" s="163" t="s">
        <v>20</v>
      </c>
      <c r="G35" s="169">
        <v>675661</v>
      </c>
      <c r="H35" s="106">
        <f t="shared" si="3"/>
        <v>0.12234568153846126</v>
      </c>
      <c r="I35" s="113">
        <f>+G35/National!G35</f>
        <v>5.0679426288081426E-2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1394538</v>
      </c>
      <c r="H36" s="106">
        <f t="shared" si="3"/>
        <v>0.25251672368433681</v>
      </c>
      <c r="I36" s="113">
        <f>+G36/National!G36</f>
        <v>8.8147134512401609E-2</v>
      </c>
    </row>
    <row r="37" spans="1:9">
      <c r="A37" s="146" t="s">
        <v>5</v>
      </c>
      <c r="B37" s="149">
        <f>2888+2497</f>
        <v>5385</v>
      </c>
      <c r="C37" s="174">
        <f>B37/B$43</f>
        <v>2.00782249134045E-2</v>
      </c>
      <c r="D37" s="77">
        <f>B37/National!B37</f>
        <v>2.5212090566885781E-2</v>
      </c>
      <c r="E37" s="51"/>
      <c r="F37" s="163" t="s">
        <v>22</v>
      </c>
      <c r="G37" s="170">
        <v>1294434</v>
      </c>
      <c r="H37" s="106">
        <f t="shared" si="3"/>
        <v>0.23439033766423778</v>
      </c>
      <c r="I37" s="114">
        <f>+G37/National!G37</f>
        <v>5.0453132769209055E-2</v>
      </c>
    </row>
    <row r="38" spans="1:9">
      <c r="A38" s="146" t="s">
        <v>7</v>
      </c>
      <c r="B38" s="157">
        <f>8700+3997</f>
        <v>12697</v>
      </c>
      <c r="C38" s="175">
        <f t="shared" ref="C38:C42" si="4">B38/B$43</f>
        <v>4.7341359651902865E-2</v>
      </c>
      <c r="D38" s="78">
        <f>B38/National!B38</f>
        <v>2.6589573586754844E-2</v>
      </c>
      <c r="E38" s="51"/>
      <c r="F38" s="47" t="s">
        <v>1</v>
      </c>
      <c r="G38" s="187">
        <f>SUM(G31:G37)</f>
        <v>5522557</v>
      </c>
      <c r="H38" s="188">
        <f>SUM(H31:H37)</f>
        <v>1</v>
      </c>
      <c r="I38" s="188">
        <f>+G38/National!G39</f>
        <v>2.7437211948578035E-2</v>
      </c>
    </row>
    <row r="39" spans="1:9">
      <c r="A39" s="146" t="s">
        <v>6</v>
      </c>
      <c r="B39" s="157">
        <f>8000+4400</f>
        <v>12400</v>
      </c>
      <c r="C39" s="175">
        <f t="shared" si="4"/>
        <v>4.623398123049504E-2</v>
      </c>
      <c r="D39" s="78">
        <f>B39/National!B39</f>
        <v>2.243592643187349E-2</v>
      </c>
      <c r="E39" s="51"/>
      <c r="H39" s="87"/>
      <c r="I39" s="87"/>
    </row>
    <row r="40" spans="1:9" ht="23.25">
      <c r="A40" s="146" t="s">
        <v>30</v>
      </c>
      <c r="B40" s="157">
        <f>32948+12405+4667</f>
        <v>50020</v>
      </c>
      <c r="C40" s="175">
        <f t="shared" si="4"/>
        <v>0.18650191460881951</v>
      </c>
      <c r="D40" s="78">
        <f>B40/National!B40</f>
        <v>3.1091612723568088E-2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33394+152537</f>
        <v>185931</v>
      </c>
      <c r="C41" s="175">
        <f t="shared" si="4"/>
        <v>0.69325244872315916</v>
      </c>
      <c r="D41" s="78">
        <f>B41/National!B41</f>
        <v>3.3329306041439757E-2</v>
      </c>
      <c r="E41" s="51"/>
      <c r="F41" s="163" t="s">
        <v>38</v>
      </c>
      <c r="G41" s="168">
        <v>1870211</v>
      </c>
      <c r="H41" s="189">
        <f>G41/G$47</f>
        <v>0.39589781823524006</v>
      </c>
      <c r="I41" s="113">
        <f>+G41/National!G42</f>
        <v>2.0622492141291051E-2</v>
      </c>
    </row>
    <row r="42" spans="1:9">
      <c r="A42" s="156" t="s">
        <v>29</v>
      </c>
      <c r="B42" s="150">
        <v>1768</v>
      </c>
      <c r="C42" s="175">
        <f t="shared" si="4"/>
        <v>6.59207087221897E-3</v>
      </c>
      <c r="D42" s="78">
        <f>B42/National!B42</f>
        <v>3.3497536945812804E-2</v>
      </c>
      <c r="E42" s="51"/>
      <c r="F42" s="163" t="s">
        <v>39</v>
      </c>
      <c r="G42" s="169">
        <v>2105044</v>
      </c>
      <c r="H42" s="86">
        <f t="shared" ref="H42:H46" si="5">G42/G$47</f>
        <v>0.44560871842224364</v>
      </c>
      <c r="I42" s="113">
        <f>+G42/National!G43</f>
        <v>4.726648581831857E-2</v>
      </c>
    </row>
    <row r="43" spans="1:9">
      <c r="A43" s="9" t="s">
        <v>1</v>
      </c>
      <c r="B43" s="154">
        <f>SUM(B37:B42)</f>
        <v>268201</v>
      </c>
      <c r="C43" s="178">
        <f>SUM(C37:C42)</f>
        <v>1</v>
      </c>
      <c r="D43" s="179">
        <f>B43/National!B43</f>
        <v>3.16126803386481E-2</v>
      </c>
      <c r="E43" s="51"/>
      <c r="F43" s="163" t="s">
        <v>40</v>
      </c>
      <c r="G43" s="169">
        <v>173468</v>
      </c>
      <c r="H43" s="86">
        <f t="shared" si="5"/>
        <v>3.6720777887431215E-2</v>
      </c>
      <c r="I43" s="113">
        <f>+G43/National!G44</f>
        <v>1.324084657821269E-2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392328</v>
      </c>
      <c r="H44" s="86">
        <f t="shared" si="5"/>
        <v>8.3050414756728128E-2</v>
      </c>
      <c r="I44" s="113">
        <f>+G44/National!G45</f>
        <v>2.6648173443251186E-2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94845</v>
      </c>
      <c r="H45" s="86">
        <f t="shared" si="5"/>
        <v>2.0077375531702756E-2</v>
      </c>
      <c r="I45" s="113">
        <f>+G45/National!G46</f>
        <v>1.1401208459577671E-2</v>
      </c>
    </row>
    <row r="46" spans="1:9">
      <c r="A46" s="8" t="s">
        <v>3</v>
      </c>
      <c r="B46" s="52">
        <v>28511</v>
      </c>
      <c r="C46" s="93">
        <f>B46/B$48</f>
        <v>0.41760285910975053</v>
      </c>
      <c r="D46" s="77">
        <f>B46/National!B48</f>
        <v>2.8786835457352351E-2</v>
      </c>
      <c r="E46" s="51"/>
      <c r="F46" s="163" t="s">
        <v>43</v>
      </c>
      <c r="G46" s="170">
        <v>88078</v>
      </c>
      <c r="H46" s="86">
        <f t="shared" si="5"/>
        <v>1.8644895166654178E-2</v>
      </c>
      <c r="I46" s="113">
        <f>+G46/National!G47</f>
        <v>1.1056709226172207E-2</v>
      </c>
    </row>
    <row r="47" spans="1:9">
      <c r="A47" s="8" t="s">
        <v>2</v>
      </c>
      <c r="B47" s="52">
        <v>39762</v>
      </c>
      <c r="C47" s="97">
        <f>B47/B$48</f>
        <v>0.58239714089024941</v>
      </c>
      <c r="D47" s="78">
        <f>B47/National!B49</f>
        <v>2.0050517096794854E-2</v>
      </c>
      <c r="E47" s="51"/>
      <c r="F47" s="9" t="s">
        <v>1</v>
      </c>
      <c r="G47" s="191">
        <f>SUM(G41:G46)</f>
        <v>4723974</v>
      </c>
      <c r="H47" s="182">
        <f>SUM(H41:H46)</f>
        <v>0.99999999999999989</v>
      </c>
      <c r="I47" s="188">
        <f>+G47/National!G49</f>
        <v>2.6038969417337701E-2</v>
      </c>
    </row>
    <row r="48" spans="1:9">
      <c r="A48" s="9" t="s">
        <v>1</v>
      </c>
      <c r="B48" s="155">
        <f>SUM(B46:B47)</f>
        <v>68273</v>
      </c>
      <c r="C48" s="165">
        <f>SUM(C46:C47)</f>
        <v>1</v>
      </c>
      <c r="D48" s="177">
        <f>B48/National!B50</f>
        <v>2.296041478266923E-2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763212</v>
      </c>
      <c r="H50" s="189">
        <f>G50/G$52</f>
        <v>0.86356420564543956</v>
      </c>
      <c r="I50" s="113">
        <f>+G50/National!G52</f>
        <v>2.4351325910762601E-2</v>
      </c>
    </row>
    <row r="51" spans="1:9">
      <c r="A51" s="146" t="s">
        <v>5</v>
      </c>
      <c r="B51" s="149">
        <f>5972+12213</f>
        <v>18185</v>
      </c>
      <c r="C51" s="174">
        <f>B51/B$57</f>
        <v>0.26635712507140452</v>
      </c>
      <c r="D51" s="77">
        <f>B51/National!B53</f>
        <v>2.5278677084882697E-2</v>
      </c>
      <c r="E51" s="51"/>
      <c r="F51" s="163" t="s">
        <v>97</v>
      </c>
      <c r="G51" s="194">
        <v>120581</v>
      </c>
      <c r="H51" s="86">
        <f>G51/G$52</f>
        <v>0.13643579435456041</v>
      </c>
      <c r="I51" s="113">
        <f>+G51/National!G53</f>
        <v>2.3911370418719168E-2</v>
      </c>
    </row>
    <row r="52" spans="1:9">
      <c r="A52" s="146" t="s">
        <v>7</v>
      </c>
      <c r="B52" s="157">
        <f>8126+7115</f>
        <v>15241</v>
      </c>
      <c r="C52" s="175">
        <f t="shared" ref="C52:C56" si="6">B52/B$57</f>
        <v>0.22323612555475811</v>
      </c>
      <c r="D52" s="78">
        <f>B52/National!B54</f>
        <v>2.2253955877564548E-2</v>
      </c>
      <c r="E52" s="51"/>
      <c r="F52" s="60" t="s">
        <v>1</v>
      </c>
      <c r="G52" s="190">
        <f>SUM(G50:G51)</f>
        <v>883793</v>
      </c>
      <c r="H52" s="185">
        <f>SUM(H50:H51)</f>
        <v>1</v>
      </c>
      <c r="I52" s="192">
        <f>+G52/National!G54</f>
        <v>2.4290348868844902E-2</v>
      </c>
    </row>
    <row r="53" spans="1:9">
      <c r="A53" s="146" t="s">
        <v>6</v>
      </c>
      <c r="B53" s="157">
        <f>3498+5273</f>
        <v>8771</v>
      </c>
      <c r="C53" s="175">
        <f t="shared" si="6"/>
        <v>0.12846952675288914</v>
      </c>
      <c r="D53" s="78">
        <f>B53/National!B55</f>
        <v>1.6580089526056316E-2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5066+703+3059</f>
        <v>8828</v>
      </c>
      <c r="C54" s="175">
        <f t="shared" si="6"/>
        <v>0.12930441023537856</v>
      </c>
      <c r="D54" s="78">
        <f>B54/National!B56</f>
        <v>2.1193286711943669E-2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5146+7358</f>
        <v>12504</v>
      </c>
      <c r="C55" s="175">
        <f t="shared" si="6"/>
        <v>0.18314707131662589</v>
      </c>
      <c r="D55" s="78">
        <f>B55/National!B57</f>
        <v>3.1175669813155414E-2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4744</v>
      </c>
      <c r="C56" s="175">
        <f t="shared" si="6"/>
        <v>6.9485741068943799E-2</v>
      </c>
      <c r="D56" s="78">
        <f>B56/National!B58</f>
        <v>2.1309472473767428E-2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68273</v>
      </c>
      <c r="C57" s="178">
        <f>SUM(C51:C56)</f>
        <v>1</v>
      </c>
      <c r="D57" s="177">
        <f>B57/National!B59</f>
        <v>2.296041478266923E-2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66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967440</v>
      </c>
      <c r="C4" s="99"/>
      <c r="D4" s="77">
        <f>B4/National!B4</f>
        <v>3.1817433340826161E-3</v>
      </c>
      <c r="E4" s="1"/>
      <c r="F4" s="146" t="s">
        <v>10</v>
      </c>
      <c r="G4" s="195">
        <v>375276</v>
      </c>
      <c r="H4" s="189">
        <f>G4/G$6</f>
        <v>0.50782833682011197</v>
      </c>
      <c r="I4" s="112">
        <f>+G4/National!G4</f>
        <v>3.6217202926259202E-3</v>
      </c>
    </row>
    <row r="5" spans="1:9">
      <c r="A5" s="8" t="s">
        <v>167</v>
      </c>
      <c r="B5" s="50">
        <f>145232+320</f>
        <v>145552</v>
      </c>
      <c r="C5" s="100"/>
      <c r="D5" s="79">
        <f>B5/National!B5</f>
        <v>4.1146127949554495E-2</v>
      </c>
      <c r="E5" s="1"/>
      <c r="F5" s="146" t="s">
        <v>11</v>
      </c>
      <c r="G5" s="196">
        <v>363706</v>
      </c>
      <c r="H5" s="86">
        <f>G5/G$6</f>
        <v>0.49217166317988803</v>
      </c>
      <c r="I5" s="113">
        <f>+G5/National!G5</f>
        <v>3.4737108655128845E-3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738982</v>
      </c>
      <c r="H6" s="182">
        <f>SUM(H4:H5)</f>
        <v>1</v>
      </c>
      <c r="I6" s="183">
        <f>+G6/National!G6</f>
        <v>3.5473303958066058E-3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484216</v>
      </c>
      <c r="C8" s="174">
        <f>B8/B10</f>
        <v>0.65683659932120986</v>
      </c>
      <c r="D8" s="77">
        <f>B8/National!B8</f>
        <v>3.5446140713732408E-3</v>
      </c>
      <c r="E8" s="1"/>
      <c r="F8" s="146" t="s">
        <v>32</v>
      </c>
      <c r="G8" s="206">
        <f>27.75/100</f>
        <v>0.27750000000000002</v>
      </c>
      <c r="H8" s="87"/>
      <c r="I8" s="87"/>
    </row>
    <row r="9" spans="1:9">
      <c r="A9" s="146" t="s">
        <v>169</v>
      </c>
      <c r="B9" s="150">
        <v>252978</v>
      </c>
      <c r="C9" s="175">
        <f>B9/B10</f>
        <v>0.34316340067879014</v>
      </c>
      <c r="D9" s="78">
        <f>B9/National!B9</f>
        <v>6.5605618320984443E-3</v>
      </c>
      <c r="E9" s="1"/>
      <c r="F9" s="146" t="s">
        <v>31</v>
      </c>
      <c r="G9" s="207">
        <f>27.75/100</f>
        <v>0.27750000000000002</v>
      </c>
      <c r="H9" s="87"/>
      <c r="I9" s="87"/>
    </row>
    <row r="10" spans="1:9">
      <c r="A10" s="9" t="s">
        <v>9</v>
      </c>
      <c r="B10" s="152">
        <f>SUM(B8:B9)</f>
        <v>737194</v>
      </c>
      <c r="C10" s="176">
        <f>SUM(C8:C9)</f>
        <v>1</v>
      </c>
      <c r="D10" s="165"/>
      <c r="E10" s="1"/>
      <c r="F10" s="146" t="s">
        <v>33</v>
      </c>
      <c r="G10" s="205">
        <f>23/100</f>
        <v>0.23</v>
      </c>
      <c r="H10" s="87"/>
      <c r="I10" s="87"/>
    </row>
    <row r="11" spans="1:9">
      <c r="A11" s="146" t="s">
        <v>170</v>
      </c>
      <c r="B11" s="149">
        <v>24999</v>
      </c>
      <c r="C11" s="93">
        <f>B11/(B12+B11)</f>
        <v>5.1627679325591626E-2</v>
      </c>
      <c r="D11" s="77">
        <f>B11/National!B11</f>
        <v>6.6285799740997764E-3</v>
      </c>
      <c r="E11" s="1"/>
      <c r="G11" s="49"/>
      <c r="H11" s="87"/>
      <c r="I11" s="86"/>
    </row>
    <row r="12" spans="1:9" ht="23.25">
      <c r="A12" s="146" t="s">
        <v>171</v>
      </c>
      <c r="B12" s="150">
        <v>459218</v>
      </c>
      <c r="C12" s="95">
        <f>B12/(B11+B12)</f>
        <v>0.94837232067440835</v>
      </c>
      <c r="D12" s="79">
        <f>B12/National!B12</f>
        <v>3.4735327406885705E-3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375757</v>
      </c>
      <c r="H13" s="189">
        <f>G13/G$18</f>
        <v>0.3615485052905853</v>
      </c>
      <c r="I13" s="92">
        <f>+G13/National!G13</f>
        <v>2.7411542921011371E-3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548750</v>
      </c>
      <c r="H14" s="86">
        <f>G14/G$18</f>
        <v>0.52800012315993761</v>
      </c>
      <c r="I14" s="106">
        <f>+G14/National!G14</f>
        <v>4.9777041036247055E-3</v>
      </c>
    </row>
    <row r="15" spans="1:9">
      <c r="A15" s="146" t="s">
        <v>3</v>
      </c>
      <c r="B15" s="149">
        <v>71115</v>
      </c>
      <c r="C15" s="174">
        <f>B15/B$17</f>
        <v>0.95879791293092986</v>
      </c>
      <c r="D15" s="77">
        <f>B15/National!B15</f>
        <v>2.3886313040183689E-2</v>
      </c>
      <c r="E15" s="3"/>
      <c r="F15" s="146" t="s">
        <v>13</v>
      </c>
      <c r="G15" s="150">
        <v>2468</v>
      </c>
      <c r="H15" s="86">
        <f>G15/G$18</f>
        <v>2.374677547077405E-3</v>
      </c>
      <c r="I15" s="106">
        <f>+G15/National!G15</f>
        <v>2.9265701262172301E-3</v>
      </c>
    </row>
    <row r="16" spans="1:9">
      <c r="A16" s="146" t="s">
        <v>2</v>
      </c>
      <c r="B16" s="150">
        <v>3056</v>
      </c>
      <c r="C16" s="175">
        <f>B16/B$17</f>
        <v>4.1202087069070123E-2</v>
      </c>
      <c r="D16" s="78">
        <f>B16/National!B16</f>
        <v>2.8680293560072825E-3</v>
      </c>
      <c r="E16" s="1"/>
      <c r="F16" s="9" t="s">
        <v>1</v>
      </c>
      <c r="G16" s="162">
        <v>926975</v>
      </c>
      <c r="H16" s="105"/>
      <c r="I16" s="106"/>
    </row>
    <row r="17" spans="1:9">
      <c r="A17" s="9" t="s">
        <v>1</v>
      </c>
      <c r="B17" s="154">
        <f>SUM(B15:B16)</f>
        <v>74171</v>
      </c>
      <c r="C17" s="176">
        <f>SUM(C15:C16)</f>
        <v>1</v>
      </c>
      <c r="D17" s="177">
        <f>B17/National!B17</f>
        <v>1.8346588278130231E-2</v>
      </c>
      <c r="E17" s="1"/>
      <c r="F17" s="108" t="s">
        <v>35</v>
      </c>
      <c r="G17" s="117">
        <v>112324</v>
      </c>
      <c r="H17" s="105">
        <f>G17/G$18</f>
        <v>0.10807669400239969</v>
      </c>
      <c r="I17" s="106">
        <f>+G17/National!G17</f>
        <v>1.4575296789811773E-2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1039299</v>
      </c>
      <c r="H18" s="185">
        <f>SUM(H13:H17)</f>
        <v>1</v>
      </c>
      <c r="I18" s="186">
        <f>+G18/National!G18</f>
        <v>4.061805282800055E-3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1130+62</f>
        <v>1192</v>
      </c>
      <c r="C20" s="174">
        <f>B20/B$26</f>
        <v>1.6070537796772411E-2</v>
      </c>
      <c r="D20" s="77">
        <f>B20/National!B20</f>
        <v>2.5496780817522619E-2</v>
      </c>
      <c r="E20" s="51"/>
      <c r="F20" s="163" t="s">
        <v>3</v>
      </c>
      <c r="G20" s="108">
        <f>170+38</f>
        <v>208</v>
      </c>
      <c r="H20" s="189">
        <f>G20/G$23</f>
        <v>0.90829694323144106</v>
      </c>
      <c r="I20" s="92">
        <f>+G20/National!G20</f>
        <v>9.9966357475849473E-3</v>
      </c>
    </row>
    <row r="21" spans="1:9">
      <c r="A21" s="146" t="s">
        <v>7</v>
      </c>
      <c r="B21" s="157">
        <f>2622+188</f>
        <v>2810</v>
      </c>
      <c r="C21" s="175">
        <f t="shared" ref="C21:C25" si="0">B21/B$26</f>
        <v>3.7884405376619523E-2</v>
      </c>
      <c r="D21" s="78">
        <f>B21/National!B21</f>
        <v>1.7616892154527101E-2</v>
      </c>
      <c r="E21" s="51"/>
      <c r="F21" s="163" t="s">
        <v>2</v>
      </c>
      <c r="G21" s="198">
        <f>14+4</f>
        <v>18</v>
      </c>
      <c r="H21" s="86">
        <f t="shared" ref="H21:H22" si="1">G21/G$23</f>
        <v>7.8602620087336247E-2</v>
      </c>
      <c r="I21" s="106">
        <f>+G21/National!G21</f>
        <v>1.1281022812735021E-3</v>
      </c>
    </row>
    <row r="22" spans="1:9">
      <c r="A22" s="146" t="s">
        <v>6</v>
      </c>
      <c r="B22" s="157">
        <f>2981+245</f>
        <v>3226</v>
      </c>
      <c r="C22" s="175">
        <f t="shared" si="0"/>
        <v>4.3492915211734727E-2</v>
      </c>
      <c r="D22" s="78">
        <f>B22/National!B22</f>
        <v>1.3375069964136902E-2</v>
      </c>
      <c r="E22" s="51"/>
      <c r="F22" s="163" t="s">
        <v>28</v>
      </c>
      <c r="G22" s="181">
        <v>3</v>
      </c>
      <c r="H22" s="86">
        <f t="shared" si="1"/>
        <v>1.3100436681222707E-2</v>
      </c>
      <c r="I22" s="106">
        <f>+G22/National!G22</f>
        <v>6.024096385542169E-3</v>
      </c>
    </row>
    <row r="23" spans="1:9">
      <c r="A23" s="146" t="s">
        <v>30</v>
      </c>
      <c r="B23" s="157">
        <f>327+7062+8834</f>
        <v>16223</v>
      </c>
      <c r="C23" s="175">
        <f t="shared" si="0"/>
        <v>0.21871840157469699</v>
      </c>
      <c r="D23" s="78">
        <f>B23/National!B23</f>
        <v>2.041432664684335E-2</v>
      </c>
      <c r="E23" s="51"/>
      <c r="F23" s="9" t="s">
        <v>1</v>
      </c>
      <c r="G23" s="197">
        <f>SUM(G20:G22)</f>
        <v>229</v>
      </c>
      <c r="H23" s="132">
        <f>SUM(H20:H22)</f>
        <v>1</v>
      </c>
      <c r="I23" s="133">
        <f>+G23/National!G23</f>
        <v>6.1458361289283697E-3</v>
      </c>
    </row>
    <row r="24" spans="1:9">
      <c r="A24" s="146" t="s">
        <v>8</v>
      </c>
      <c r="B24" s="157">
        <f>48487+2235</f>
        <v>50722</v>
      </c>
      <c r="C24" s="175">
        <f t="shared" si="0"/>
        <v>0.68383374004017639</v>
      </c>
      <c r="D24" s="78">
        <f>B24/National!B24</f>
        <v>1.8184464654982031E-2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0</v>
      </c>
      <c r="C25" s="175">
        <f t="shared" si="0"/>
        <v>0</v>
      </c>
      <c r="D25" s="78">
        <f>B25/National!B25</f>
        <v>0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74173</v>
      </c>
      <c r="C26" s="176">
        <f>SUM(C20:C25)</f>
        <v>1</v>
      </c>
      <c r="D26" s="177">
        <f>B26/National!B26</f>
        <v>1.8347037606319221E-2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671050</v>
      </c>
      <c r="H27" s="87"/>
      <c r="I27" s="113">
        <f>+G27/National!G27</f>
        <v>4.859892285580582E-3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650688</v>
      </c>
      <c r="H28" s="87"/>
      <c r="I28" s="114">
        <f>+G28/National!G28</f>
        <v>4.8931024271784722E-3</v>
      </c>
    </row>
    <row r="29" spans="1:9">
      <c r="A29" s="146" t="s">
        <v>91</v>
      </c>
      <c r="B29" s="149">
        <f>10497+299</f>
        <v>10796</v>
      </c>
      <c r="C29" s="174">
        <f>B29/B$34</f>
        <v>0.14555161581707629</v>
      </c>
      <c r="D29" s="77">
        <f>B29/National!B29</f>
        <v>1.384576515294338E-2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44999+5</f>
        <v>45004</v>
      </c>
      <c r="C30" s="175">
        <f t="shared" ref="C30:C33" si="2">B30/B$34</f>
        <v>0.60674369379693416</v>
      </c>
      <c r="D30" s="78">
        <f>B30/National!B30</f>
        <v>2.5169374837112693E-2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1351+2754</f>
        <v>4105</v>
      </c>
      <c r="C31" s="175">
        <f t="shared" si="2"/>
        <v>5.5343588637374784E-2</v>
      </c>
      <c r="D31" s="78">
        <f>B31/National!B31</f>
        <v>3.190976648736047E-3</v>
      </c>
      <c r="E31" s="51"/>
      <c r="F31" s="163" t="s">
        <v>16</v>
      </c>
      <c r="G31" s="168">
        <v>337523</v>
      </c>
      <c r="H31" s="92">
        <f>G31/G$38</f>
        <v>0.38367966352165511</v>
      </c>
      <c r="I31" s="112">
        <f>+G31/National!G31</f>
        <v>7.9902559136529744E-3</v>
      </c>
    </row>
    <row r="32" spans="1:9">
      <c r="A32" s="146" t="s">
        <v>94</v>
      </c>
      <c r="B32" s="157">
        <f>339</f>
        <v>339</v>
      </c>
      <c r="C32" s="175">
        <f t="shared" si="2"/>
        <v>4.5703962358270532E-3</v>
      </c>
      <c r="D32" s="78">
        <f>B32/National!B32</f>
        <v>5.9455951733693464E-3</v>
      </c>
      <c r="E32" s="51"/>
      <c r="F32" s="163" t="s">
        <v>17</v>
      </c>
      <c r="G32" s="169">
        <v>303760</v>
      </c>
      <c r="H32" s="106">
        <f t="shared" ref="H32:H37" si="3">G32/G$38</f>
        <v>0.34529953393202228</v>
      </c>
      <c r="I32" s="113">
        <f>+G32/National!G32</f>
        <v>4.8826411642430888E-3</v>
      </c>
    </row>
    <row r="33" spans="1:9">
      <c r="A33" s="146" t="s">
        <v>95</v>
      </c>
      <c r="B33" s="150">
        <f>13929</f>
        <v>13929</v>
      </c>
      <c r="C33" s="175">
        <f t="shared" si="2"/>
        <v>0.18779070551278768</v>
      </c>
      <c r="D33" s="78">
        <f>B33/National!B33</f>
        <v>0.10589818447221969</v>
      </c>
      <c r="E33" s="51"/>
      <c r="F33" s="163" t="s">
        <v>18</v>
      </c>
      <c r="G33" s="169">
        <v>50544</v>
      </c>
      <c r="H33" s="106">
        <f t="shared" si="3"/>
        <v>5.7455950892349665E-2</v>
      </c>
      <c r="I33" s="113">
        <f>+G33/National!G33</f>
        <v>1.5910687103135872E-3</v>
      </c>
    </row>
    <row r="34" spans="1:9">
      <c r="A34" s="9" t="s">
        <v>1</v>
      </c>
      <c r="B34" s="154">
        <f>SUM(B29:B33)</f>
        <v>74173</v>
      </c>
      <c r="C34" s="176">
        <f>SUM(C29:C33)</f>
        <v>0.99999999999999989</v>
      </c>
      <c r="D34" s="180">
        <f>B34/National!B34</f>
        <v>1.8347082988684982E-2</v>
      </c>
      <c r="E34" s="51"/>
      <c r="F34" s="163" t="s">
        <v>19</v>
      </c>
      <c r="G34" s="169">
        <v>119057</v>
      </c>
      <c r="H34" s="106">
        <f t="shared" si="3"/>
        <v>0.13533818347163806</v>
      </c>
      <c r="I34" s="113">
        <f>+G34/National!G34</f>
        <v>1.3863252210421199E-2</v>
      </c>
    </row>
    <row r="35" spans="1:9">
      <c r="B35" s="49"/>
      <c r="C35" s="96"/>
      <c r="D35" s="96"/>
      <c r="E35" s="51"/>
      <c r="F35" s="163" t="s">
        <v>20</v>
      </c>
      <c r="G35" s="169">
        <v>22738</v>
      </c>
      <c r="H35" s="106">
        <f t="shared" si="3"/>
        <v>2.5847447993634195E-2</v>
      </c>
      <c r="I35" s="113">
        <f>+G35/National!G35</f>
        <v>1.7055132602568381E-3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29792</v>
      </c>
      <c r="H36" s="106">
        <f t="shared" si="3"/>
        <v>3.3866090712742977E-2</v>
      </c>
      <c r="I36" s="113">
        <f>+G36/National!G36</f>
        <v>1.8831178722942428E-3</v>
      </c>
    </row>
    <row r="37" spans="1:9">
      <c r="A37" s="146" t="s">
        <v>5</v>
      </c>
      <c r="B37" s="149">
        <f>4518+247</f>
        <v>4765</v>
      </c>
      <c r="C37" s="174">
        <f>B37/B$43</f>
        <v>3.1512674510115142E-2</v>
      </c>
      <c r="D37" s="77">
        <f>B37/National!B37</f>
        <v>2.2309305766241551E-2</v>
      </c>
      <c r="E37" s="51"/>
      <c r="F37" s="163" t="s">
        <v>22</v>
      </c>
      <c r="G37" s="170">
        <v>16286</v>
      </c>
      <c r="H37" s="106">
        <f t="shared" si="3"/>
        <v>1.8513129475957714E-2</v>
      </c>
      <c r="I37" s="114">
        <f>+G37/National!G37</f>
        <v>6.3477915465704599E-4</v>
      </c>
    </row>
    <row r="38" spans="1:9">
      <c r="A38" s="146" t="s">
        <v>7</v>
      </c>
      <c r="B38" s="157">
        <f>5503+572</f>
        <v>6075</v>
      </c>
      <c r="C38" s="175">
        <f t="shared" ref="C38:C42" si="4">B38/B$43</f>
        <v>4.0176179989286354E-2</v>
      </c>
      <c r="D38" s="78">
        <f>B38/National!B38</f>
        <v>1.2722033514966974E-2</v>
      </c>
      <c r="E38" s="51"/>
      <c r="F38" s="47" t="s">
        <v>1</v>
      </c>
      <c r="G38" s="187">
        <f>SUM(G31:G37)</f>
        <v>879700</v>
      </c>
      <c r="H38" s="188">
        <f>SUM(H31:H37)</f>
        <v>1</v>
      </c>
      <c r="I38" s="188">
        <f>+G38/National!G39</f>
        <v>4.3705325904583869E-3</v>
      </c>
    </row>
    <row r="39" spans="1:9">
      <c r="A39" s="146" t="s">
        <v>6</v>
      </c>
      <c r="B39" s="157">
        <f>518+6030</f>
        <v>6548</v>
      </c>
      <c r="C39" s="175">
        <f t="shared" si="4"/>
        <v>4.3304300669933668E-2</v>
      </c>
      <c r="D39" s="78">
        <f>B39/National!B39</f>
        <v>1.1847616635153839E-2</v>
      </c>
      <c r="E39" s="51"/>
      <c r="H39" s="87"/>
      <c r="I39" s="87"/>
    </row>
    <row r="40" spans="1:9" ht="23.25">
      <c r="A40" s="146" t="s">
        <v>30</v>
      </c>
      <c r="B40" s="157">
        <f>14054+17667+656</f>
        <v>32377</v>
      </c>
      <c r="C40" s="175">
        <f t="shared" si="4"/>
        <v>0.21412085259475297</v>
      </c>
      <c r="D40" s="78">
        <f>B40/National!B40</f>
        <v>2.0125012897860135E-2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4470+96974</f>
        <v>101444</v>
      </c>
      <c r="C41" s="175">
        <f t="shared" si="4"/>
        <v>0.67088599223591183</v>
      </c>
      <c r="D41" s="78">
        <f>B41/National!B41</f>
        <v>1.8184477693702582E-2</v>
      </c>
      <c r="E41" s="51"/>
      <c r="F41" s="163" t="s">
        <v>38</v>
      </c>
      <c r="G41" s="168">
        <v>393475</v>
      </c>
      <c r="H41" s="189">
        <f>G41/G$47</f>
        <v>0.43053596653532755</v>
      </c>
      <c r="I41" s="113">
        <f>+G41/National!G42</f>
        <v>4.3387805414974549E-3</v>
      </c>
    </row>
    <row r="42" spans="1:9">
      <c r="A42" s="156" t="s">
        <v>29</v>
      </c>
      <c r="B42" s="150">
        <v>0</v>
      </c>
      <c r="C42" s="175">
        <f t="shared" si="4"/>
        <v>0</v>
      </c>
      <c r="D42" s="78">
        <f>B42/National!B42</f>
        <v>0</v>
      </c>
      <c r="E42" s="51"/>
      <c r="F42" s="163" t="s">
        <v>39</v>
      </c>
      <c r="G42" s="169">
        <v>235901</v>
      </c>
      <c r="H42" s="86">
        <f t="shared" ref="H42:H46" si="5">G42/G$47</f>
        <v>0.25812024916869003</v>
      </c>
      <c r="I42" s="113">
        <f>+G42/National!G43</f>
        <v>5.2969017612112474E-3</v>
      </c>
    </row>
    <row r="43" spans="1:9">
      <c r="A43" s="9" t="s">
        <v>1</v>
      </c>
      <c r="B43" s="154">
        <f>SUM(B37:B42)</f>
        <v>151209</v>
      </c>
      <c r="C43" s="178">
        <f>SUM(C37:C42)</f>
        <v>1</v>
      </c>
      <c r="D43" s="179">
        <f>B43/National!B43</f>
        <v>1.7822908122365842E-2</v>
      </c>
      <c r="E43" s="51"/>
      <c r="F43" s="163" t="s">
        <v>40</v>
      </c>
      <c r="G43" s="169">
        <v>164731</v>
      </c>
      <c r="H43" s="86">
        <f t="shared" si="5"/>
        <v>0.18024682712581749</v>
      </c>
      <c r="I43" s="113">
        <f>+G43/National!G44</f>
        <v>1.2573949648785682E-2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91444</v>
      </c>
      <c r="H44" s="86">
        <f t="shared" si="5"/>
        <v>0.10005700724024777</v>
      </c>
      <c r="I44" s="113">
        <f>+G44/National!G45</f>
        <v>6.2111691552595308E-3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8302</v>
      </c>
      <c r="H45" s="86">
        <f t="shared" si="5"/>
        <v>9.0839560179840888E-3</v>
      </c>
      <c r="I45" s="113">
        <f>+G45/National!G46</f>
        <v>9.9797387981879712E-4</v>
      </c>
    </row>
    <row r="46" spans="1:9">
      <c r="A46" s="8" t="s">
        <v>3</v>
      </c>
      <c r="B46" s="52">
        <v>8205</v>
      </c>
      <c r="C46" s="93">
        <f>B46/B$48</f>
        <v>0.75887902330743617</v>
      </c>
      <c r="D46" s="77">
        <f>B46/National!B48</f>
        <v>8.2843809381493473E-3</v>
      </c>
      <c r="E46" s="51"/>
      <c r="F46" s="163" t="s">
        <v>43</v>
      </c>
      <c r="G46" s="170">
        <v>20066</v>
      </c>
      <c r="H46" s="86">
        <f t="shared" si="5"/>
        <v>2.1955993911933116E-2</v>
      </c>
      <c r="I46" s="113">
        <f>+G46/National!G47</f>
        <v>2.5189482882487283E-3</v>
      </c>
    </row>
    <row r="47" spans="1:9">
      <c r="A47" s="8" t="s">
        <v>2</v>
      </c>
      <c r="B47" s="52">
        <v>2607</v>
      </c>
      <c r="C47" s="97">
        <f>B47/B$48</f>
        <v>0.24112097669256383</v>
      </c>
      <c r="D47" s="78">
        <f>B47/National!B49</f>
        <v>1.3146144075082788E-3</v>
      </c>
      <c r="E47" s="51"/>
      <c r="F47" s="9" t="s">
        <v>1</v>
      </c>
      <c r="G47" s="191">
        <f>SUM(G41:G46)</f>
        <v>913919</v>
      </c>
      <c r="H47" s="182">
        <f>SUM(H41:H46)</f>
        <v>1</v>
      </c>
      <c r="I47" s="188">
        <f>+G47/National!G49</f>
        <v>5.0376036978450464E-3</v>
      </c>
    </row>
    <row r="48" spans="1:9">
      <c r="A48" s="9" t="s">
        <v>1</v>
      </c>
      <c r="B48" s="155">
        <f>SUM(B46:B47)</f>
        <v>10812</v>
      </c>
      <c r="C48" s="165">
        <f>SUM(C46:C47)</f>
        <v>1</v>
      </c>
      <c r="D48" s="177">
        <f>B48/National!B50</f>
        <v>3.6361080460829277E-3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141690</v>
      </c>
      <c r="H50" s="189">
        <f>G50/G$52</f>
        <v>0.87083451132717904</v>
      </c>
      <c r="I50" s="113">
        <f>+G50/National!G52</f>
        <v>4.5208138345518055E-3</v>
      </c>
    </row>
    <row r="51" spans="1:9">
      <c r="A51" s="146" t="s">
        <v>5</v>
      </c>
      <c r="B51" s="149">
        <f>2350+343</f>
        <v>2693</v>
      </c>
      <c r="C51" s="174">
        <f>B51/B$57</f>
        <v>0.24907510173880873</v>
      </c>
      <c r="D51" s="77">
        <f>B51/National!B53</f>
        <v>3.7434961446020953E-3</v>
      </c>
      <c r="E51" s="51"/>
      <c r="F51" s="163" t="s">
        <v>97</v>
      </c>
      <c r="G51" s="194">
        <v>21016</v>
      </c>
      <c r="H51" s="86">
        <f>G51/G$52</f>
        <v>0.12916548867282091</v>
      </c>
      <c r="I51" s="113">
        <f>+G51/National!G53</f>
        <v>4.1675003584296204E-3</v>
      </c>
    </row>
    <row r="52" spans="1:9">
      <c r="A52" s="146" t="s">
        <v>7</v>
      </c>
      <c r="B52" s="157">
        <f>2190+945</f>
        <v>3135</v>
      </c>
      <c r="C52" s="175">
        <f t="shared" ref="C52:C56" si="6">B52/B$57</f>
        <v>0.28995560488346284</v>
      </c>
      <c r="D52" s="78">
        <f>B52/National!B54</f>
        <v>4.5775311118801173E-3</v>
      </c>
      <c r="E52" s="51"/>
      <c r="F52" s="60" t="s">
        <v>1</v>
      </c>
      <c r="G52" s="190">
        <f>SUM(G50:G51)</f>
        <v>162706</v>
      </c>
      <c r="H52" s="185">
        <f>SUM(H50:H51)</f>
        <v>1</v>
      </c>
      <c r="I52" s="192">
        <f>+G52/National!G54</f>
        <v>4.4718452206051404E-3</v>
      </c>
    </row>
    <row r="53" spans="1:9">
      <c r="A53" s="146" t="s">
        <v>6</v>
      </c>
      <c r="B53" s="157">
        <f>1115+516</f>
        <v>1631</v>
      </c>
      <c r="C53" s="175">
        <f t="shared" si="6"/>
        <v>0.15085090640029597</v>
      </c>
      <c r="D53" s="78">
        <f>B53/National!B55</f>
        <v>3.0831291776305838E-3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1154+381+239</f>
        <v>1774</v>
      </c>
      <c r="C54" s="175">
        <f t="shared" si="6"/>
        <v>0.16407695153533111</v>
      </c>
      <c r="D54" s="78">
        <f>B54/National!B56</f>
        <v>4.2588231340040857E-3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1015+564</f>
        <v>1579</v>
      </c>
      <c r="C55" s="175">
        <f t="shared" si="6"/>
        <v>0.14604143544210138</v>
      </c>
      <c r="D55" s="78">
        <f>B55/National!B57</f>
        <v>3.9368508185358602E-3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0</v>
      </c>
      <c r="C56" s="175">
        <f t="shared" si="6"/>
        <v>0</v>
      </c>
      <c r="D56" s="78">
        <f>B56/National!B58</f>
        <v>0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10812</v>
      </c>
      <c r="C57" s="178">
        <f>SUM(C51:C56)</f>
        <v>1</v>
      </c>
      <c r="D57" s="177">
        <f>B57/National!B59</f>
        <v>3.6361080460829277E-3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67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1783432</v>
      </c>
      <c r="C4" s="99"/>
      <c r="D4" s="77">
        <f>B4/National!B4</f>
        <v>5.8654003119466098E-3</v>
      </c>
      <c r="E4" s="1"/>
      <c r="F4" s="146" t="s">
        <v>10</v>
      </c>
      <c r="G4" s="195">
        <v>675980</v>
      </c>
      <c r="H4" s="189">
        <f>G4/G$6</f>
        <v>0.50206252794476558</v>
      </c>
      <c r="I4" s="112">
        <f>+G4/National!G4</f>
        <v>6.523759801877204E-3</v>
      </c>
    </row>
    <row r="5" spans="1:9">
      <c r="A5" s="8" t="s">
        <v>167</v>
      </c>
      <c r="B5" s="50">
        <f>76354+518</f>
        <v>76872</v>
      </c>
      <c r="C5" s="100"/>
      <c r="D5" s="79">
        <f>B5/National!B5</f>
        <v>2.1730963145392388E-2</v>
      </c>
      <c r="E5" s="1"/>
      <c r="F5" s="146" t="s">
        <v>11</v>
      </c>
      <c r="G5" s="196">
        <v>670426</v>
      </c>
      <c r="H5" s="86">
        <f>G5/G$6</f>
        <v>0.49793747205523448</v>
      </c>
      <c r="I5" s="113">
        <f>+G5/National!G5</f>
        <v>6.4031555177047981E-3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1346406</v>
      </c>
      <c r="H6" s="182">
        <f>SUM(H4:H5)</f>
        <v>1</v>
      </c>
      <c r="I6" s="183">
        <f>+G6/National!G6</f>
        <v>6.4631437963257408E-3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838358</v>
      </c>
      <c r="C8" s="174">
        <f>B8/B10</f>
        <v>0.67200406557177317</v>
      </c>
      <c r="D8" s="77">
        <f>B8/National!B8</f>
        <v>6.1370453757172982E-3</v>
      </c>
      <c r="E8" s="1"/>
      <c r="F8" s="146" t="s">
        <v>32</v>
      </c>
      <c r="G8" s="206">
        <f>26/100</f>
        <v>0.26</v>
      </c>
      <c r="H8" s="87"/>
      <c r="I8" s="87"/>
    </row>
    <row r="9" spans="1:9">
      <c r="A9" s="146" t="s">
        <v>169</v>
      </c>
      <c r="B9" s="150">
        <v>409191</v>
      </c>
      <c r="C9" s="175">
        <f>B9/B10</f>
        <v>0.32799593442822689</v>
      </c>
      <c r="D9" s="78">
        <f>B9/National!B9</f>
        <v>1.0611685034422735E-2</v>
      </c>
      <c r="E9" s="1"/>
      <c r="F9" s="146" t="s">
        <v>31</v>
      </c>
      <c r="G9" s="207">
        <f>26/100</f>
        <v>0.26</v>
      </c>
      <c r="H9" s="87"/>
      <c r="I9" s="87"/>
    </row>
    <row r="10" spans="1:9">
      <c r="A10" s="9" t="s">
        <v>9</v>
      </c>
      <c r="B10" s="152">
        <f>SUM(B8:B9)</f>
        <v>1247549</v>
      </c>
      <c r="C10" s="176">
        <f>SUM(C8:C9)</f>
        <v>1</v>
      </c>
      <c r="D10" s="165"/>
      <c r="E10" s="1"/>
      <c r="F10" s="146" t="s">
        <v>33</v>
      </c>
      <c r="G10" s="205">
        <f>26/100</f>
        <v>0.26</v>
      </c>
      <c r="H10" s="87"/>
      <c r="I10" s="87"/>
    </row>
    <row r="11" spans="1:9">
      <c r="A11" s="146" t="s">
        <v>170</v>
      </c>
      <c r="B11" s="149">
        <v>31643</v>
      </c>
      <c r="C11" s="93">
        <f>B11/(B12+B11)</f>
        <v>3.7794013489415933E-2</v>
      </c>
      <c r="D11" s="77">
        <f>B11/National!B11</f>
        <v>8.3902618552917814E-3</v>
      </c>
      <c r="E11" s="1"/>
      <c r="G11" s="49"/>
      <c r="H11" s="87"/>
      <c r="I11" s="86"/>
    </row>
    <row r="12" spans="1:9" ht="23.25">
      <c r="A12" s="146" t="s">
        <v>171</v>
      </c>
      <c r="B12" s="150">
        <v>805606</v>
      </c>
      <c r="C12" s="95">
        <f>B12/(B11+B12)</f>
        <v>0.96220598651058409</v>
      </c>
      <c r="D12" s="79">
        <f>B12/National!B12</f>
        <v>6.0936174476940285E-3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f>816515</f>
        <v>816515</v>
      </c>
      <c r="H13" s="189">
        <f>G13/G$18</f>
        <v>0.45361062423786203</v>
      </c>
      <c r="I13" s="92">
        <f>+G13/National!G13</f>
        <v>5.956492086148654E-3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932901</v>
      </c>
      <c r="H14" s="86">
        <f>G14/G$18</f>
        <v>0.51826825589502423</v>
      </c>
      <c r="I14" s="106">
        <f>+G14/National!G14</f>
        <v>8.4623328218234022E-3</v>
      </c>
    </row>
    <row r="15" spans="1:9">
      <c r="A15" s="146" t="s">
        <v>3</v>
      </c>
      <c r="B15" s="149">
        <v>87297</v>
      </c>
      <c r="C15" s="174">
        <f>B15/B$17</f>
        <v>0.93251081557442717</v>
      </c>
      <c r="D15" s="77">
        <f>B15/National!B15</f>
        <v>2.9321570266032698E-2</v>
      </c>
      <c r="E15" s="3"/>
      <c r="F15" s="146" t="s">
        <v>13</v>
      </c>
      <c r="G15" s="150">
        <v>7212</v>
      </c>
      <c r="H15" s="86">
        <f>G15/G$18</f>
        <v>4.0065887607740958E-3</v>
      </c>
      <c r="I15" s="106">
        <f>+G15/National!G15</f>
        <v>8.5520355552182598E-3</v>
      </c>
    </row>
    <row r="16" spans="1:9">
      <c r="A16" s="146" t="s">
        <v>2</v>
      </c>
      <c r="B16" s="150">
        <v>6318</v>
      </c>
      <c r="C16" s="175">
        <f>B16/B$17</f>
        <v>6.7489184425572821E-2</v>
      </c>
      <c r="D16" s="78">
        <f>B16/National!B16</f>
        <v>5.9293879159862603E-3</v>
      </c>
      <c r="E16" s="1"/>
      <c r="F16" s="9" t="s">
        <v>1</v>
      </c>
      <c r="G16" s="162">
        <v>1756628</v>
      </c>
      <c r="H16" s="105"/>
      <c r="I16" s="106"/>
    </row>
    <row r="17" spans="1:9">
      <c r="A17" s="9" t="s">
        <v>1</v>
      </c>
      <c r="B17" s="154">
        <f>SUM(B15:B16)</f>
        <v>93615</v>
      </c>
      <c r="C17" s="176">
        <f>SUM(C15:C16)</f>
        <v>1</v>
      </c>
      <c r="D17" s="177">
        <f>B17/National!B17</f>
        <v>2.315616429139639E-2</v>
      </c>
      <c r="E17" s="1"/>
      <c r="F17" s="108" t="s">
        <v>35</v>
      </c>
      <c r="G17" s="117">
        <v>43407</v>
      </c>
      <c r="H17" s="105">
        <f>G17/G$18</f>
        <v>2.4114531106339598E-2</v>
      </c>
      <c r="I17" s="106">
        <f>+G17/National!G17</f>
        <v>5.6325443160442972E-3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1800035</v>
      </c>
      <c r="H18" s="185">
        <f>SUM(H13:H17)</f>
        <v>1</v>
      </c>
      <c r="I18" s="186">
        <f>+G18/National!G18</f>
        <v>7.0349261109892312E-3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420+61</f>
        <v>481</v>
      </c>
      <c r="C20" s="174">
        <f>B20/B$26</f>
        <v>5.1380654809592479E-3</v>
      </c>
      <c r="D20" s="77">
        <f>B20/National!B20</f>
        <v>1.0288549977540588E-2</v>
      </c>
      <c r="E20" s="51"/>
      <c r="F20" s="163" t="s">
        <v>3</v>
      </c>
      <c r="G20" s="108">
        <f>145+37</f>
        <v>182</v>
      </c>
      <c r="H20" s="189">
        <f>G20/G$23</f>
        <v>0.875</v>
      </c>
      <c r="I20" s="92">
        <f>+G20/National!G20</f>
        <v>8.7470562791368296E-3</v>
      </c>
    </row>
    <row r="21" spans="1:9">
      <c r="A21" s="146" t="s">
        <v>7</v>
      </c>
      <c r="B21" s="157">
        <f>478+2693</f>
        <v>3171</v>
      </c>
      <c r="C21" s="175">
        <f t="shared" ref="C21:C25" si="0">B21/B$26</f>
        <v>3.3872776798589972E-2</v>
      </c>
      <c r="D21" s="78">
        <f>B21/National!B21</f>
        <v>1.9880129901069552E-2</v>
      </c>
      <c r="E21" s="51"/>
      <c r="F21" s="163" t="s">
        <v>2</v>
      </c>
      <c r="G21" s="198">
        <f>18+8</f>
        <v>26</v>
      </c>
      <c r="H21" s="86">
        <f t="shared" ref="H21:H22" si="1">G21/G$23</f>
        <v>0.125</v>
      </c>
      <c r="I21" s="106">
        <f>+G21/National!G21</f>
        <v>1.6294810729506142E-3</v>
      </c>
    </row>
    <row r="22" spans="1:9">
      <c r="A22" s="146" t="s">
        <v>6</v>
      </c>
      <c r="B22" s="157">
        <f>4169+764</f>
        <v>4933</v>
      </c>
      <c r="C22" s="175">
        <f t="shared" si="0"/>
        <v>5.2694546814078938E-2</v>
      </c>
      <c r="D22" s="78">
        <f>B22/National!B22</f>
        <v>2.045233110139099E-2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11495+8788+468</f>
        <v>20751</v>
      </c>
      <c r="C23" s="175">
        <f t="shared" si="0"/>
        <v>0.22166319500080114</v>
      </c>
      <c r="D23" s="78">
        <f>B23/National!B23</f>
        <v>2.6112167431957489E-2</v>
      </c>
      <c r="E23" s="51"/>
      <c r="F23" s="9" t="s">
        <v>1</v>
      </c>
      <c r="G23" s="197">
        <f>SUM(G20:G22)</f>
        <v>208</v>
      </c>
      <c r="H23" s="132">
        <f>SUM(H20:H22)</f>
        <v>1</v>
      </c>
      <c r="I23" s="133">
        <f>+G23/National!G23</f>
        <v>5.582244169506991E-3</v>
      </c>
    </row>
    <row r="24" spans="1:9">
      <c r="A24" s="146" t="s">
        <v>8</v>
      </c>
      <c r="B24" s="157">
        <f>59732+4526</f>
        <v>64258</v>
      </c>
      <c r="C24" s="175">
        <f t="shared" si="0"/>
        <v>0.68640709288041446</v>
      </c>
      <c r="D24" s="78">
        <f>B24/National!B24</f>
        <v>2.3037288155037958E-2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21</v>
      </c>
      <c r="C25" s="175">
        <f t="shared" si="0"/>
        <v>2.2432302515622496E-4</v>
      </c>
      <c r="D25" s="78">
        <f>B25/National!B25</f>
        <v>1.8526687251874724E-3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93615</v>
      </c>
      <c r="C26" s="176">
        <f>SUM(C20:C25)</f>
        <v>1</v>
      </c>
      <c r="D26" s="177">
        <f>B26/National!B26</f>
        <v>2.3156107013543658E-2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1360399</v>
      </c>
      <c r="H27" s="87"/>
      <c r="I27" s="113">
        <f>+G27/National!G27</f>
        <v>9.852309970064135E-3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1352037</v>
      </c>
      <c r="H28" s="87"/>
      <c r="I28" s="114">
        <f>+G28/National!G28</f>
        <v>1.0167170020555319E-2</v>
      </c>
    </row>
    <row r="29" spans="1:9">
      <c r="A29" s="146" t="s">
        <v>91</v>
      </c>
      <c r="B29" s="149">
        <f>9552+407</f>
        <v>9959</v>
      </c>
      <c r="C29" s="174">
        <f>B29/B$34</f>
        <v>0.10638252416813544</v>
      </c>
      <c r="D29" s="77">
        <f>B29/National!B29</f>
        <v>1.2772320781600881E-2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60271+678</f>
        <v>60949</v>
      </c>
      <c r="C30" s="175">
        <f t="shared" ref="C30:C33" si="2">B30/B$34</f>
        <v>0.65106019334508358</v>
      </c>
      <c r="D30" s="78">
        <f>B30/National!B30</f>
        <v>3.4086930649435195E-2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16994+5233</f>
        <v>22227</v>
      </c>
      <c r="C31" s="175">
        <f t="shared" si="2"/>
        <v>0.23742989905463868</v>
      </c>
      <c r="D31" s="78">
        <f>B31/National!B31</f>
        <v>1.7277914243960076E-2</v>
      </c>
      <c r="E31" s="51"/>
      <c r="F31" s="163" t="s">
        <v>16</v>
      </c>
      <c r="G31" s="168">
        <v>254965</v>
      </c>
      <c r="H31" s="92">
        <f>G31/G$38</f>
        <v>0.15293391508183388</v>
      </c>
      <c r="I31" s="112">
        <f>+G31/National!G31</f>
        <v>6.0358422952644141E-3</v>
      </c>
    </row>
    <row r="32" spans="1:9">
      <c r="A32" s="146" t="s">
        <v>94</v>
      </c>
      <c r="B32" s="157">
        <f>249+0</f>
        <v>249</v>
      </c>
      <c r="C32" s="175">
        <f t="shared" si="2"/>
        <v>2.6598301554238103E-3</v>
      </c>
      <c r="D32" s="78">
        <f>B32/National!B32</f>
        <v>4.36711857866952E-3</v>
      </c>
      <c r="E32" s="51"/>
      <c r="F32" s="163" t="s">
        <v>17</v>
      </c>
      <c r="G32" s="169">
        <v>410476</v>
      </c>
      <c r="H32" s="106">
        <f t="shared" ref="H32:H37" si="3">G32/G$38</f>
        <v>0.24621301640276447</v>
      </c>
      <c r="I32" s="113">
        <f>+G32/National!G32</f>
        <v>6.5979951755788984E-3</v>
      </c>
    </row>
    <row r="33" spans="1:9">
      <c r="A33" s="146" t="s">
        <v>95</v>
      </c>
      <c r="B33" s="150">
        <f>231</f>
        <v>231</v>
      </c>
      <c r="C33" s="175">
        <f t="shared" si="2"/>
        <v>2.4675532767184745E-3</v>
      </c>
      <c r="D33" s="78">
        <f>B33/National!B33</f>
        <v>1.7562266216586079E-3</v>
      </c>
      <c r="E33" s="51"/>
      <c r="F33" s="163" t="s">
        <v>18</v>
      </c>
      <c r="G33" s="169">
        <v>770583</v>
      </c>
      <c r="H33" s="106">
        <f t="shared" si="3"/>
        <v>0.46221353944857058</v>
      </c>
      <c r="I33" s="113">
        <f>+G33/National!G33</f>
        <v>2.425709283000109E-2</v>
      </c>
    </row>
    <row r="34" spans="1:9">
      <c r="A34" s="9" t="s">
        <v>1</v>
      </c>
      <c r="B34" s="154">
        <f>SUM(B29:B33)</f>
        <v>93615</v>
      </c>
      <c r="C34" s="176">
        <f>SUM(C29:C33)</f>
        <v>0.99999999999999989</v>
      </c>
      <c r="D34" s="180">
        <f>B34/National!B34</f>
        <v>2.315616429139639E-2</v>
      </c>
      <c r="E34" s="51"/>
      <c r="F34" s="163" t="s">
        <v>19</v>
      </c>
      <c r="G34" s="169">
        <v>44528</v>
      </c>
      <c r="H34" s="106">
        <f t="shared" si="3"/>
        <v>2.6708926208553717E-2</v>
      </c>
      <c r="I34" s="113">
        <f>+G34/National!G34</f>
        <v>5.1849357402390045E-3</v>
      </c>
    </row>
    <row r="35" spans="1:9">
      <c r="B35" s="49"/>
      <c r="C35" s="96"/>
      <c r="D35" s="96"/>
      <c r="E35" s="51"/>
      <c r="F35" s="163" t="s">
        <v>20</v>
      </c>
      <c r="G35" s="169">
        <v>144639</v>
      </c>
      <c r="H35" s="106">
        <f t="shared" si="3"/>
        <v>8.6757823793545658E-2</v>
      </c>
      <c r="I35" s="113">
        <f>+G35/National!G35</f>
        <v>1.0848963517032668E-2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41967</v>
      </c>
      <c r="H36" s="106">
        <f t="shared" si="3"/>
        <v>2.5172779064731716E-2</v>
      </c>
      <c r="I36" s="113">
        <f>+G36/National!G36</f>
        <v>2.6526855446620734E-3</v>
      </c>
    </row>
    <row r="37" spans="1:9">
      <c r="A37" s="146" t="s">
        <v>5</v>
      </c>
      <c r="B37" s="149">
        <f>1709+323</f>
        <v>2032</v>
      </c>
      <c r="C37" s="174">
        <f>B37/B$43</f>
        <v>1.0672381012405592E-2</v>
      </c>
      <c r="D37" s="77">
        <f>B37/National!B37</f>
        <v>9.5136430885630272E-3</v>
      </c>
      <c r="E37" s="51"/>
      <c r="F37" s="163" t="s">
        <v>22</v>
      </c>
      <c r="G37" s="170">
        <v>0</v>
      </c>
      <c r="H37" s="106">
        <f t="shared" si="3"/>
        <v>0</v>
      </c>
      <c r="I37" s="114">
        <f>+G37/National!G37</f>
        <v>0</v>
      </c>
    </row>
    <row r="38" spans="1:9">
      <c r="A38" s="146" t="s">
        <v>7</v>
      </c>
      <c r="B38" s="157">
        <f>6257+1699</f>
        <v>7956</v>
      </c>
      <c r="C38" s="175">
        <f t="shared" ref="C38:C42" si="4">B38/B$43</f>
        <v>4.1786153215895128E-2</v>
      </c>
      <c r="D38" s="78">
        <f>B38/National!B38</f>
        <v>1.6661152040341933E-2</v>
      </c>
      <c r="E38" s="51"/>
      <c r="F38" s="47" t="s">
        <v>1</v>
      </c>
      <c r="G38" s="187">
        <f>SUM(G31:G37)</f>
        <v>1667158</v>
      </c>
      <c r="H38" s="188">
        <f>SUM(H31:H37)</f>
        <v>1</v>
      </c>
      <c r="I38" s="188">
        <f>+G38/National!G39</f>
        <v>8.2827877372324919E-3</v>
      </c>
    </row>
    <row r="39" spans="1:9">
      <c r="A39" s="146" t="s">
        <v>6</v>
      </c>
      <c r="B39" s="157">
        <f>8424+1823</f>
        <v>10247</v>
      </c>
      <c r="C39" s="175">
        <f t="shared" si="4"/>
        <v>5.381884263490163E-2</v>
      </c>
      <c r="D39" s="78">
        <f>B39/National!B39</f>
        <v>1.8540398237694166E-2</v>
      </c>
      <c r="E39" s="51"/>
      <c r="H39" s="87"/>
      <c r="I39" s="87"/>
    </row>
    <row r="40" spans="1:9" ht="23.25">
      <c r="A40" s="146" t="s">
        <v>30</v>
      </c>
      <c r="B40" s="157">
        <f>23006+17576+971</f>
        <v>41553</v>
      </c>
      <c r="C40" s="175">
        <f t="shared" si="4"/>
        <v>0.2182428386852803</v>
      </c>
      <c r="D40" s="78">
        <f>B40/National!B40</f>
        <v>2.582866420436675E-2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119464+9052</f>
        <v>128516</v>
      </c>
      <c r="C41" s="175">
        <f t="shared" si="4"/>
        <v>0.67498608178657338</v>
      </c>
      <c r="D41" s="78">
        <f>B41/National!B41</f>
        <v>2.3037304673355557E-2</v>
      </c>
      <c r="E41" s="51"/>
      <c r="F41" s="163" t="s">
        <v>38</v>
      </c>
      <c r="G41" s="168">
        <v>747564</v>
      </c>
      <c r="H41" s="189">
        <f>G41/G$47</f>
        <v>0.46557876918362845</v>
      </c>
      <c r="I41" s="113">
        <f>+G41/National!G42</f>
        <v>8.2432584960264385E-3</v>
      </c>
    </row>
    <row r="42" spans="1:9">
      <c r="A42" s="156" t="s">
        <v>29</v>
      </c>
      <c r="B42" s="150">
        <v>94</v>
      </c>
      <c r="C42" s="175">
        <f t="shared" si="4"/>
        <v>4.9370266494395954E-4</v>
      </c>
      <c r="D42" s="78">
        <f>B42/National!B42</f>
        <v>1.7809776430466086E-3</v>
      </c>
      <c r="E42" s="51"/>
      <c r="F42" s="163" t="s">
        <v>39</v>
      </c>
      <c r="G42" s="169">
        <v>509290</v>
      </c>
      <c r="H42" s="86">
        <f t="shared" ref="H42:H46" si="5">G42/G$47</f>
        <v>0.31718302561055661</v>
      </c>
      <c r="I42" s="113">
        <f>+G42/National!G43</f>
        <v>1.1435556008525933E-2</v>
      </c>
    </row>
    <row r="43" spans="1:9">
      <c r="A43" s="9" t="s">
        <v>1</v>
      </c>
      <c r="B43" s="154">
        <f>SUM(B37:B42)</f>
        <v>190398</v>
      </c>
      <c r="C43" s="178">
        <f>SUM(C37:C42)</f>
        <v>1</v>
      </c>
      <c r="D43" s="179">
        <f>B43/National!B43</f>
        <v>2.2442090488543745E-2</v>
      </c>
      <c r="E43" s="51"/>
      <c r="F43" s="163" t="s">
        <v>40</v>
      </c>
      <c r="G43" s="169">
        <v>245890</v>
      </c>
      <c r="H43" s="86">
        <f t="shared" si="5"/>
        <v>0.15313894670498099</v>
      </c>
      <c r="I43" s="113">
        <f>+G43/National!G44</f>
        <v>1.8768832090741337E-2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85520</v>
      </c>
      <c r="H44" s="86">
        <f t="shared" si="5"/>
        <v>5.3261388109357738E-2</v>
      </c>
      <c r="I44" s="113">
        <f>+G44/National!G45</f>
        <v>5.8087921149314889E-3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8479</v>
      </c>
      <c r="H45" s="86">
        <f t="shared" si="5"/>
        <v>5.2806748103279262E-3</v>
      </c>
      <c r="I45" s="113">
        <f>+G45/National!G46</f>
        <v>1.0192508464205712E-3</v>
      </c>
    </row>
    <row r="46" spans="1:9">
      <c r="A46" s="8" t="s">
        <v>3</v>
      </c>
      <c r="B46" s="52">
        <v>10900</v>
      </c>
      <c r="C46" s="93">
        <f>B46/B$48</f>
        <v>0.5685967657798644</v>
      </c>
      <c r="D46" s="77">
        <f>B46/National!B48</f>
        <v>1.1005454262745629E-2</v>
      </c>
      <c r="E46" s="51"/>
      <c r="F46" s="163" t="s">
        <v>43</v>
      </c>
      <c r="G46" s="170">
        <v>8923</v>
      </c>
      <c r="H46" s="86">
        <f t="shared" si="5"/>
        <v>5.5571955811482589E-3</v>
      </c>
      <c r="I46" s="113">
        <f>+G46/National!G47</f>
        <v>1.1201323420733282E-3</v>
      </c>
    </row>
    <row r="47" spans="1:9">
      <c r="A47" s="8" t="s">
        <v>2</v>
      </c>
      <c r="B47" s="52">
        <v>8270</v>
      </c>
      <c r="C47" s="97">
        <f>B47/B$48</f>
        <v>0.43140323422013566</v>
      </c>
      <c r="D47" s="78">
        <f>B47/National!B49</f>
        <v>4.1702574415394961E-3</v>
      </c>
      <c r="E47" s="51"/>
      <c r="F47" s="9" t="s">
        <v>1</v>
      </c>
      <c r="G47" s="191">
        <f>SUM(G41:G46)</f>
        <v>1605666</v>
      </c>
      <c r="H47" s="182">
        <f>SUM(H41:H46)</f>
        <v>1</v>
      </c>
      <c r="I47" s="188">
        <f>+G47/National!G49</f>
        <v>8.8505753563544072E-3</v>
      </c>
    </row>
    <row r="48" spans="1:9">
      <c r="A48" s="9" t="s">
        <v>1</v>
      </c>
      <c r="B48" s="155">
        <f>SUM(B46:B47)</f>
        <v>19170</v>
      </c>
      <c r="C48" s="165">
        <f>SUM(C46:C47)</f>
        <v>1</v>
      </c>
      <c r="D48" s="177">
        <f>B48/National!B50</f>
        <v>6.4469285278773332E-3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236488</v>
      </c>
      <c r="H50" s="189">
        <f>G50/G$52</f>
        <v>0.87041399210882753</v>
      </c>
      <c r="I50" s="113">
        <f>+G50/National!G52</f>
        <v>7.5454740779553071E-3</v>
      </c>
    </row>
    <row r="51" spans="1:9">
      <c r="A51" s="146" t="s">
        <v>5</v>
      </c>
      <c r="B51" s="149">
        <f>2590+1356</f>
        <v>3946</v>
      </c>
      <c r="C51" s="174">
        <f>B51/B$57</f>
        <v>0.20584246218049035</v>
      </c>
      <c r="D51" s="77">
        <f>B51/National!B53</f>
        <v>5.4852713652431741E-3</v>
      </c>
      <c r="E51" s="51"/>
      <c r="F51" s="163" t="s">
        <v>97</v>
      </c>
      <c r="G51" s="194">
        <v>35208</v>
      </c>
      <c r="H51" s="86">
        <f>G51/G$52</f>
        <v>0.1295860078911725</v>
      </c>
      <c r="I51" s="113">
        <f>+G51/National!G53</f>
        <v>6.9817925684997175E-3</v>
      </c>
    </row>
    <row r="52" spans="1:9">
      <c r="A52" s="146" t="s">
        <v>7</v>
      </c>
      <c r="B52" s="157">
        <f>3050+2856</f>
        <v>5906</v>
      </c>
      <c r="C52" s="175">
        <f t="shared" ref="C52:C56" si="6">B52/B$57</f>
        <v>0.30808555033907148</v>
      </c>
      <c r="D52" s="78">
        <f>B52/National!B54</f>
        <v>8.6235721680267847E-3</v>
      </c>
      <c r="E52" s="51"/>
      <c r="F52" s="60" t="s">
        <v>1</v>
      </c>
      <c r="G52" s="190">
        <f>SUM(G50:G51)</f>
        <v>271696</v>
      </c>
      <c r="H52" s="185">
        <f>SUM(H50:H51)</f>
        <v>1</v>
      </c>
      <c r="I52" s="192">
        <f>+G52/National!G54</f>
        <v>7.4673488319885817E-3</v>
      </c>
    </row>
    <row r="53" spans="1:9">
      <c r="A53" s="146" t="s">
        <v>6</v>
      </c>
      <c r="B53" s="157">
        <f>2440+2079</f>
        <v>4519</v>
      </c>
      <c r="C53" s="175">
        <f t="shared" si="6"/>
        <v>0.23573291601460616</v>
      </c>
      <c r="D53" s="78">
        <f>B53/National!B55</f>
        <v>8.5424038955932615E-3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1528+241+595</f>
        <v>2364</v>
      </c>
      <c r="C54" s="175">
        <f t="shared" si="6"/>
        <v>0.12331768388106416</v>
      </c>
      <c r="D54" s="78">
        <f>B54/National!B56</f>
        <v>5.6752299260347571E-3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1051+1087</f>
        <v>2138</v>
      </c>
      <c r="C55" s="175">
        <f t="shared" si="6"/>
        <v>0.11152842983828899</v>
      </c>
      <c r="D55" s="78">
        <f>B55/National!B57</f>
        <v>5.3305807789928248E-3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297</v>
      </c>
      <c r="C56" s="175">
        <f t="shared" si="6"/>
        <v>1.5492957746478873E-2</v>
      </c>
      <c r="D56" s="78">
        <f>B56/National!B58</f>
        <v>1.3340879689521345E-3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19170</v>
      </c>
      <c r="C57" s="178">
        <f>SUM(C51:C56)</f>
        <v>1</v>
      </c>
      <c r="D57" s="177">
        <f>B57/National!B59</f>
        <v>6.4469285278773332E-3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5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  <col min="8" max="9" width="8.7109375" customWidth="1"/>
  </cols>
  <sheetData>
    <row r="1" spans="1:14" ht="24.75">
      <c r="A1" s="6" t="s">
        <v>25</v>
      </c>
      <c r="B1" s="16">
        <v>2008</v>
      </c>
      <c r="C1" s="16"/>
      <c r="D1" s="16"/>
      <c r="E1" s="7"/>
      <c r="F1" s="11"/>
      <c r="G1" s="7"/>
      <c r="H1" s="7"/>
      <c r="I1" s="23"/>
      <c r="J1" s="23"/>
      <c r="K1" s="23"/>
      <c r="L1" s="23"/>
      <c r="M1" s="1"/>
    </row>
    <row r="2" spans="1:14" ht="15.75">
      <c r="A2" s="12" t="s">
        <v>24</v>
      </c>
      <c r="B2" s="13"/>
      <c r="C2" s="13"/>
      <c r="D2" s="13"/>
      <c r="E2" s="14"/>
      <c r="F2" s="15" t="s">
        <v>23</v>
      </c>
      <c r="G2" s="7"/>
      <c r="H2" s="7"/>
      <c r="I2" s="23"/>
      <c r="J2" s="23"/>
      <c r="K2" s="23"/>
      <c r="L2" s="23"/>
      <c r="M2" s="1"/>
    </row>
    <row r="3" spans="1:14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  <c r="J3" s="3"/>
      <c r="K3" s="3"/>
      <c r="L3" s="1"/>
      <c r="M3" s="1"/>
    </row>
    <row r="4" spans="1:14">
      <c r="A4" s="8" t="s">
        <v>210</v>
      </c>
      <c r="B4" s="50">
        <v>686293</v>
      </c>
      <c r="C4" s="99"/>
      <c r="D4" s="77">
        <f>B4/National!B4</f>
        <v>2.2570993322351368E-3</v>
      </c>
      <c r="E4" s="1"/>
      <c r="F4" s="146" t="s">
        <v>10</v>
      </c>
      <c r="G4" s="195">
        <v>267442</v>
      </c>
      <c r="H4" s="189">
        <f>G4/G$6</f>
        <v>0.5315226507566152</v>
      </c>
      <c r="I4" s="112">
        <f>+G4/National!G4</f>
        <v>2.5810340083044516E-3</v>
      </c>
      <c r="J4" s="3"/>
      <c r="K4" s="3"/>
      <c r="L4" s="1"/>
    </row>
    <row r="5" spans="1:14">
      <c r="A5" s="8" t="s">
        <v>167</v>
      </c>
      <c r="B5" s="50">
        <f>570954+997</f>
        <v>571951</v>
      </c>
      <c r="C5" s="100"/>
      <c r="D5" s="79">
        <f>B5/National!B5</f>
        <v>0.16168495813781769</v>
      </c>
      <c r="E5" s="1"/>
      <c r="F5" s="146" t="s">
        <v>11</v>
      </c>
      <c r="G5" s="196">
        <v>235720</v>
      </c>
      <c r="H5" s="86">
        <f>G5/G$6</f>
        <v>0.46847734924338486</v>
      </c>
      <c r="I5" s="113">
        <f>+G5/National!G5</f>
        <v>2.2513324641845259E-3</v>
      </c>
      <c r="J5" s="3"/>
      <c r="K5" s="3"/>
      <c r="L5" s="1"/>
    </row>
    <row r="6" spans="1:14">
      <c r="A6" s="1"/>
      <c r="B6" s="51"/>
      <c r="C6" s="96"/>
      <c r="D6" s="96"/>
      <c r="E6" s="1"/>
      <c r="F6" s="9" t="s">
        <v>1</v>
      </c>
      <c r="G6" s="154">
        <f>SUM(G4:G5)</f>
        <v>503162</v>
      </c>
      <c r="H6" s="182">
        <f>SUM(H4:H5)</f>
        <v>1</v>
      </c>
      <c r="I6" s="183">
        <f>+G6/National!G6</f>
        <v>2.4153252130834626E-3</v>
      </c>
      <c r="J6" s="3"/>
      <c r="K6" s="3"/>
      <c r="L6" s="1"/>
    </row>
    <row r="7" spans="1:14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  <c r="J7" s="3"/>
      <c r="K7" s="3"/>
      <c r="L7" s="1"/>
      <c r="M7" s="1"/>
    </row>
    <row r="8" spans="1:14">
      <c r="A8" s="146" t="s">
        <v>168</v>
      </c>
      <c r="B8" s="149">
        <v>289510</v>
      </c>
      <c r="C8" s="174">
        <f>B8/B10</f>
        <v>0.54182278234635783</v>
      </c>
      <c r="D8" s="77">
        <f>B8/National!B8</f>
        <v>2.1193046487585437E-3</v>
      </c>
      <c r="E8" s="1"/>
      <c r="F8" s="146" t="s">
        <v>32</v>
      </c>
      <c r="G8" s="206">
        <f>8/100</f>
        <v>0.08</v>
      </c>
      <c r="H8" s="87"/>
      <c r="I8" s="87"/>
      <c r="J8" s="1"/>
      <c r="K8" s="1"/>
      <c r="L8" s="1"/>
      <c r="M8" s="1"/>
    </row>
    <row r="9" spans="1:14">
      <c r="A9" s="146" t="s">
        <v>169</v>
      </c>
      <c r="B9" s="150">
        <v>244816</v>
      </c>
      <c r="C9" s="175">
        <f>B9/B10</f>
        <v>0.45817721765364217</v>
      </c>
      <c r="D9" s="78">
        <f>B9/National!B9</f>
        <v>6.3488939966598393E-3</v>
      </c>
      <c r="E9" s="1"/>
      <c r="F9" s="146" t="s">
        <v>31</v>
      </c>
      <c r="G9" s="207">
        <f>8/100</f>
        <v>0.08</v>
      </c>
      <c r="H9" s="87"/>
      <c r="I9" s="87"/>
      <c r="J9" s="1"/>
      <c r="K9" s="1"/>
      <c r="L9" s="1"/>
      <c r="M9" s="1"/>
    </row>
    <row r="10" spans="1:14">
      <c r="A10" s="9" t="s">
        <v>9</v>
      </c>
      <c r="B10" s="152">
        <f>SUM(B8:B9)</f>
        <v>534326</v>
      </c>
      <c r="C10" s="176">
        <f>SUM(C8:C9)</f>
        <v>1</v>
      </c>
      <c r="D10" s="165"/>
      <c r="E10" s="1"/>
      <c r="F10" s="146" t="s">
        <v>33</v>
      </c>
      <c r="G10" s="205">
        <f>8/100</f>
        <v>0.08</v>
      </c>
      <c r="H10" s="87"/>
      <c r="I10" s="87"/>
      <c r="J10" s="1"/>
      <c r="K10" s="1"/>
      <c r="L10" s="1"/>
      <c r="M10" s="1"/>
    </row>
    <row r="11" spans="1:14">
      <c r="A11" s="146" t="s">
        <v>170</v>
      </c>
      <c r="B11" s="149">
        <v>25866</v>
      </c>
      <c r="C11" s="93">
        <f>B11/(B12+B11)</f>
        <v>9.0049505295186641E-2</v>
      </c>
      <c r="D11" s="77">
        <f>B11/National!B11</f>
        <v>6.8584683231355179E-3</v>
      </c>
      <c r="E11" s="1"/>
      <c r="G11" s="49"/>
      <c r="H11" s="87"/>
      <c r="I11" s="86"/>
      <c r="J11" s="1"/>
      <c r="K11" s="1"/>
      <c r="L11" s="1"/>
      <c r="M11" s="1"/>
    </row>
    <row r="12" spans="1:14" ht="23.25">
      <c r="A12" s="146" t="s">
        <v>171</v>
      </c>
      <c r="B12" s="150">
        <v>261376</v>
      </c>
      <c r="C12" s="95">
        <f>B12/(B11+B12)</f>
        <v>0.90995049470481337</v>
      </c>
      <c r="D12" s="79">
        <f>B12/National!B12</f>
        <v>1.9770524971369063E-3</v>
      </c>
      <c r="E12" s="1"/>
      <c r="F12" s="67" t="s">
        <v>189</v>
      </c>
      <c r="G12" s="51"/>
      <c r="H12" s="89" t="s">
        <v>197</v>
      </c>
      <c r="I12" s="90" t="s">
        <v>198</v>
      </c>
      <c r="J12" s="1"/>
      <c r="K12" s="1"/>
      <c r="L12" s="1"/>
      <c r="M12" s="1"/>
    </row>
    <row r="13" spans="1:14">
      <c r="A13" s="1"/>
      <c r="B13" s="51"/>
      <c r="C13" s="96"/>
      <c r="D13" s="96"/>
      <c r="E13" s="1"/>
      <c r="F13" s="146" t="s">
        <v>34</v>
      </c>
      <c r="G13" s="149">
        <v>242650</v>
      </c>
      <c r="H13" s="189">
        <f>G13/G$18</f>
        <v>0.33762959396788866</v>
      </c>
      <c r="I13" s="92">
        <f>+G13/National!G13</f>
        <v>1.7701362555543633E-3</v>
      </c>
      <c r="J13" s="1"/>
      <c r="K13" s="1"/>
      <c r="L13" s="1"/>
      <c r="M13" s="1"/>
      <c r="N13" s="1"/>
    </row>
    <row r="14" spans="1:14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445343</v>
      </c>
      <c r="H14" s="86">
        <f>G14/G$18</f>
        <v>0.61966196689240238</v>
      </c>
      <c r="I14" s="106">
        <f>+G14/National!G14</f>
        <v>4.0397005532948286E-3</v>
      </c>
      <c r="J14" s="1"/>
      <c r="K14" s="1"/>
      <c r="L14" s="1"/>
      <c r="M14" s="1"/>
      <c r="N14" s="1"/>
    </row>
    <row r="15" spans="1:14">
      <c r="A15" s="146" t="s">
        <v>3</v>
      </c>
      <c r="B15" s="149">
        <v>12987</v>
      </c>
      <c r="C15" s="174">
        <f>B15/B$17</f>
        <v>0.8472729645093946</v>
      </c>
      <c r="D15" s="77">
        <f>B15/National!B15</f>
        <v>4.3621113330923932E-3</v>
      </c>
      <c r="E15" s="3"/>
      <c r="F15" s="146" t="s">
        <v>13</v>
      </c>
      <c r="G15" s="150">
        <v>2763</v>
      </c>
      <c r="H15" s="86">
        <f>G15/G$18</f>
        <v>3.8445108927808629E-3</v>
      </c>
      <c r="I15" s="106">
        <f>+G15/National!G15</f>
        <v>3.2763830059717208E-3</v>
      </c>
      <c r="J15" s="1"/>
      <c r="K15" s="1"/>
      <c r="L15" s="1"/>
      <c r="M15" s="1"/>
    </row>
    <row r="16" spans="1:14">
      <c r="A16" s="146" t="s">
        <v>2</v>
      </c>
      <c r="B16" s="150">
        <v>2341</v>
      </c>
      <c r="C16" s="175">
        <f>B16/B$17</f>
        <v>0.15272703549060543</v>
      </c>
      <c r="D16" s="78">
        <f>B16/National!B16</f>
        <v>2.1970080897948459E-3</v>
      </c>
      <c r="E16" s="1"/>
      <c r="F16" s="9" t="s">
        <v>1</v>
      </c>
      <c r="G16" s="162">
        <f>SUM(G13:G15)</f>
        <v>690756</v>
      </c>
      <c r="H16" s="105"/>
      <c r="I16" s="106"/>
      <c r="J16" s="1"/>
      <c r="K16" s="1"/>
      <c r="L16" s="1"/>
      <c r="M16" s="1"/>
    </row>
    <row r="17" spans="1:14">
      <c r="A17" s="9" t="s">
        <v>1</v>
      </c>
      <c r="B17" s="154">
        <f>SUM(B15:B16)</f>
        <v>15328</v>
      </c>
      <c r="C17" s="176">
        <f>SUM(C15:C16)</f>
        <v>1</v>
      </c>
      <c r="D17" s="177">
        <f>B17/National!B17</f>
        <v>3.7914616915934824E-3</v>
      </c>
      <c r="E17" s="1"/>
      <c r="F17" s="108" t="s">
        <v>35</v>
      </c>
      <c r="G17" s="117">
        <v>27931</v>
      </c>
      <c r="H17" s="105">
        <f>G17/G$18</f>
        <v>3.8863928246928081E-2</v>
      </c>
      <c r="I17" s="106">
        <f>+G17/National!G17</f>
        <v>3.6243600177720938E-3</v>
      </c>
      <c r="J17" s="1"/>
      <c r="K17" s="1"/>
      <c r="L17" s="1"/>
      <c r="M17" s="1"/>
    </row>
    <row r="18" spans="1:14">
      <c r="A18" s="1"/>
      <c r="B18" s="1"/>
      <c r="C18" s="96"/>
      <c r="D18" s="96"/>
      <c r="E18" s="1"/>
      <c r="F18" s="109" t="s">
        <v>196</v>
      </c>
      <c r="G18" s="184">
        <f>SUM(G16:G17)</f>
        <v>718687</v>
      </c>
      <c r="H18" s="185">
        <f>SUM(H13:H17)</f>
        <v>0.99999999999999989</v>
      </c>
      <c r="I18" s="186">
        <f>+G18/National!G18</f>
        <v>2.8087842413778165E-3</v>
      </c>
      <c r="J18" s="1"/>
      <c r="K18" s="1"/>
      <c r="L18" s="1"/>
      <c r="M18" s="1"/>
    </row>
    <row r="19" spans="1:14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  <c r="J19" s="1"/>
      <c r="K19" s="1"/>
      <c r="L19" s="1"/>
      <c r="M19" s="1"/>
    </row>
    <row r="20" spans="1:14">
      <c r="A20" s="146" t="s">
        <v>5</v>
      </c>
      <c r="B20" s="149">
        <f>1013+69</f>
        <v>1082</v>
      </c>
      <c r="C20" s="174">
        <f>B20/B$26</f>
        <v>7.058516537282275E-2</v>
      </c>
      <c r="D20" s="77">
        <f>B20/National!B20</f>
        <v>2.3143889970268016E-2</v>
      </c>
      <c r="E20" s="51"/>
      <c r="F20" s="163" t="s">
        <v>3</v>
      </c>
      <c r="G20" s="108">
        <v>45</v>
      </c>
      <c r="H20" s="189">
        <f>G20/G$23</f>
        <v>0.72580645161290325</v>
      </c>
      <c r="I20" s="92">
        <f>+G20/National!G20</f>
        <v>2.162733695390974E-3</v>
      </c>
      <c r="J20" s="1"/>
      <c r="K20" s="1"/>
      <c r="L20" s="1"/>
      <c r="M20" s="1"/>
    </row>
    <row r="21" spans="1:14">
      <c r="A21" s="146" t="s">
        <v>7</v>
      </c>
      <c r="B21" s="157">
        <f>806+61</f>
        <v>867</v>
      </c>
      <c r="C21" s="175">
        <f t="shared" ref="C21:C25" si="0">B21/B$26</f>
        <v>5.6559462456781263E-2</v>
      </c>
      <c r="D21" s="78">
        <f>B21/National!B21</f>
        <v>5.4355322056850522E-3</v>
      </c>
      <c r="E21" s="51"/>
      <c r="F21" s="163" t="s">
        <v>2</v>
      </c>
      <c r="G21" s="198">
        <v>15</v>
      </c>
      <c r="H21" s="86">
        <f t="shared" ref="H21:H22" si="1">G21/G$23</f>
        <v>0.24193548387096775</v>
      </c>
      <c r="I21" s="106">
        <f>+G21/National!G21</f>
        <v>9.4008523439458513E-4</v>
      </c>
      <c r="J21" s="1"/>
      <c r="K21" s="1"/>
      <c r="L21" s="1"/>
      <c r="M21" s="1"/>
    </row>
    <row r="22" spans="1:14">
      <c r="A22" s="146" t="s">
        <v>6</v>
      </c>
      <c r="B22" s="157">
        <f>444+207</f>
        <v>651</v>
      </c>
      <c r="C22" s="175">
        <f t="shared" si="0"/>
        <v>4.2468523713223301E-2</v>
      </c>
      <c r="D22" s="78">
        <f>B22/National!B22</f>
        <v>2.6990609258069195E-3</v>
      </c>
      <c r="E22" s="51"/>
      <c r="F22" s="163" t="s">
        <v>28</v>
      </c>
      <c r="G22" s="181">
        <v>2</v>
      </c>
      <c r="H22" s="86">
        <f t="shared" si="1"/>
        <v>3.2258064516129031E-2</v>
      </c>
      <c r="I22" s="106">
        <f>+G22/National!G22</f>
        <v>4.0160642570281121E-3</v>
      </c>
      <c r="J22" s="1"/>
      <c r="K22" s="1"/>
      <c r="L22" s="1"/>
      <c r="M22" s="1"/>
    </row>
    <row r="23" spans="1:14">
      <c r="A23" s="146" t="s">
        <v>30</v>
      </c>
      <c r="B23" s="157">
        <f>1431+1033+343</f>
        <v>2807</v>
      </c>
      <c r="C23" s="175">
        <f t="shared" si="0"/>
        <v>0.18311696783873704</v>
      </c>
      <c r="D23" s="78">
        <f>B23/National!B23</f>
        <v>3.5322082782277804E-3</v>
      </c>
      <c r="E23" s="51"/>
      <c r="F23" s="9" t="s">
        <v>1</v>
      </c>
      <c r="G23" s="197">
        <f>SUM(G20:G22)</f>
        <v>62</v>
      </c>
      <c r="H23" s="132">
        <f>SUM(H20:H22)</f>
        <v>1</v>
      </c>
      <c r="I23" s="133">
        <f>+G23/National!G23</f>
        <v>1.6639381659107378E-3</v>
      </c>
      <c r="J23" s="1"/>
      <c r="K23" s="1"/>
      <c r="L23" s="1"/>
      <c r="M23" s="1"/>
    </row>
    <row r="24" spans="1:14">
      <c r="A24" s="146" t="s">
        <v>8</v>
      </c>
      <c r="B24" s="157">
        <f>8261+1661</f>
        <v>9922</v>
      </c>
      <c r="C24" s="175">
        <f t="shared" si="0"/>
        <v>0.6472698806184356</v>
      </c>
      <c r="D24" s="78">
        <f>B24/National!B24</f>
        <v>3.5571597789269293E-3</v>
      </c>
      <c r="E24" s="51"/>
      <c r="F24" s="51"/>
      <c r="G24" s="51"/>
      <c r="H24" s="87"/>
      <c r="I24" s="87"/>
      <c r="J24" s="1"/>
      <c r="K24" s="1"/>
      <c r="L24" s="1"/>
      <c r="M24" s="1"/>
    </row>
    <row r="25" spans="1:14" ht="15.75">
      <c r="A25" s="156" t="s">
        <v>29</v>
      </c>
      <c r="B25" s="150">
        <v>0</v>
      </c>
      <c r="C25" s="175">
        <f t="shared" si="0"/>
        <v>0</v>
      </c>
      <c r="D25" s="78">
        <f>B25/National!B25</f>
        <v>0</v>
      </c>
      <c r="E25" s="51"/>
      <c r="F25" s="68" t="s">
        <v>37</v>
      </c>
      <c r="G25" s="51"/>
      <c r="H25" s="87"/>
      <c r="I25" s="87"/>
      <c r="J25" s="1"/>
      <c r="K25" s="1"/>
      <c r="L25" s="1"/>
      <c r="M25" s="1"/>
    </row>
    <row r="26" spans="1:14" ht="23.25">
      <c r="A26" s="22" t="s">
        <v>1</v>
      </c>
      <c r="B26" s="154">
        <f>SUM(B20:B25)</f>
        <v>15329</v>
      </c>
      <c r="C26" s="176">
        <f>SUM(C20:C25)</f>
        <v>1</v>
      </c>
      <c r="D26" s="177">
        <f>B26/National!B26</f>
        <v>3.7916996679016259E-3</v>
      </c>
      <c r="E26" s="51"/>
      <c r="F26" s="5" t="s">
        <v>191</v>
      </c>
      <c r="G26" s="55"/>
      <c r="H26" s="111"/>
      <c r="I26" s="118" t="s">
        <v>198</v>
      </c>
      <c r="J26" s="1"/>
      <c r="K26" s="1"/>
      <c r="L26" s="1"/>
      <c r="M26" s="1"/>
    </row>
    <row r="27" spans="1:14">
      <c r="B27" s="49"/>
      <c r="C27" s="96"/>
      <c r="D27" s="96"/>
      <c r="E27" s="51"/>
      <c r="F27" s="53" t="s">
        <v>14</v>
      </c>
      <c r="G27" s="56">
        <v>797188</v>
      </c>
      <c r="H27" s="87"/>
      <c r="I27" s="113">
        <f>+G27/National!G27</f>
        <v>5.7734115361856983E-3</v>
      </c>
      <c r="J27" s="1"/>
      <c r="K27" s="1"/>
      <c r="L27" s="1"/>
      <c r="M27" s="1"/>
    </row>
    <row r="28" spans="1:14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730157</v>
      </c>
      <c r="H28" s="87"/>
      <c r="I28" s="114">
        <f>+G28/National!G28</f>
        <v>5.4907005952489546E-3</v>
      </c>
      <c r="J28" s="1"/>
      <c r="K28" s="1"/>
      <c r="L28" s="1"/>
      <c r="M28" s="1"/>
    </row>
    <row r="29" spans="1:14">
      <c r="A29" s="146" t="s">
        <v>91</v>
      </c>
      <c r="B29" s="149">
        <f>5061+589</f>
        <v>5650</v>
      </c>
      <c r="C29" s="174">
        <f>B29/B$34</f>
        <v>0.36860647181628392</v>
      </c>
      <c r="D29" s="77">
        <f>B29/National!B29</f>
        <v>7.2460701291339469E-3</v>
      </c>
      <c r="E29" s="51"/>
      <c r="F29" s="51"/>
      <c r="G29" s="51"/>
      <c r="H29" s="87"/>
      <c r="I29" s="87"/>
      <c r="J29" s="1"/>
      <c r="K29" s="1"/>
      <c r="L29" s="1"/>
      <c r="M29" s="1"/>
      <c r="N29" s="1"/>
    </row>
    <row r="30" spans="1:14" ht="15" customHeight="1">
      <c r="A30" s="146" t="s">
        <v>92</v>
      </c>
      <c r="B30" s="157">
        <f>2348+1174</f>
        <v>3522</v>
      </c>
      <c r="C30" s="175">
        <f t="shared" ref="C30:C33" si="2">B30/B$34</f>
        <v>0.22977557411273486</v>
      </c>
      <c r="D30" s="78">
        <f>B30/National!B30</f>
        <v>1.9697479818751866E-3</v>
      </c>
      <c r="E30" s="51"/>
      <c r="F30" s="5" t="s">
        <v>184</v>
      </c>
      <c r="G30" s="51"/>
      <c r="H30" s="89" t="s">
        <v>197</v>
      </c>
      <c r="I30" s="124" t="s">
        <v>198</v>
      </c>
      <c r="J30" s="1"/>
      <c r="K30" s="1"/>
      <c r="L30" s="1"/>
      <c r="M30" s="1"/>
      <c r="N30" s="1"/>
    </row>
    <row r="31" spans="1:14">
      <c r="A31" s="146" t="s">
        <v>93</v>
      </c>
      <c r="B31" s="157">
        <f>1610+206</f>
        <v>1816</v>
      </c>
      <c r="C31" s="175">
        <f t="shared" si="2"/>
        <v>0.11847599164926931</v>
      </c>
      <c r="D31" s="78">
        <f>B31/National!B31</f>
        <v>1.4116476477721463E-3</v>
      </c>
      <c r="E31" s="51"/>
      <c r="F31" s="163" t="s">
        <v>16</v>
      </c>
      <c r="G31" s="168">
        <v>418950</v>
      </c>
      <c r="H31" s="92">
        <f>G31/G$38</f>
        <v>0.46675505247443128</v>
      </c>
      <c r="I31" s="112">
        <f>+G31/National!G31</f>
        <v>9.9178951212951835E-3</v>
      </c>
      <c r="J31" s="1"/>
      <c r="K31" s="1"/>
      <c r="L31" s="1"/>
      <c r="M31" s="1"/>
      <c r="N31" s="1"/>
    </row>
    <row r="32" spans="1:14">
      <c r="A32" s="146" t="s">
        <v>94</v>
      </c>
      <c r="B32" s="157">
        <f>2788+15</f>
        <v>2803</v>
      </c>
      <c r="C32" s="175">
        <f t="shared" si="2"/>
        <v>0.18286795407098122</v>
      </c>
      <c r="D32" s="78">
        <f>B32/National!B32</f>
        <v>4.916077661048459E-2</v>
      </c>
      <c r="E32" s="51"/>
      <c r="F32" s="163" t="s">
        <v>17</v>
      </c>
      <c r="G32" s="169">
        <v>107125</v>
      </c>
      <c r="H32" s="106">
        <f t="shared" ref="H32:H37" si="3">G32/G$38</f>
        <v>0.11934869315269948</v>
      </c>
      <c r="I32" s="113">
        <f>+G32/National!G32</f>
        <v>1.7219282812731792E-3</v>
      </c>
      <c r="J32" s="1"/>
      <c r="K32" s="1"/>
      <c r="L32" s="1"/>
      <c r="M32" s="1"/>
      <c r="N32" s="1"/>
    </row>
    <row r="33" spans="1:14">
      <c r="A33" s="146" t="s">
        <v>95</v>
      </c>
      <c r="B33" s="150">
        <f>1180+357</f>
        <v>1537</v>
      </c>
      <c r="C33" s="175">
        <f t="shared" si="2"/>
        <v>0.10027400835073069</v>
      </c>
      <c r="D33" s="78">
        <f>B33/National!B33</f>
        <v>1.1685369339780434E-2</v>
      </c>
      <c r="E33" s="51"/>
      <c r="F33" s="163" t="s">
        <v>18</v>
      </c>
      <c r="G33" s="169">
        <v>193369</v>
      </c>
      <c r="H33" s="106">
        <f t="shared" si="3"/>
        <v>0.21543372178524478</v>
      </c>
      <c r="I33" s="113">
        <f>+G33/National!G33</f>
        <v>6.0870403103163197E-3</v>
      </c>
      <c r="J33" s="1"/>
      <c r="K33" s="1"/>
      <c r="L33" s="1"/>
      <c r="M33" s="1"/>
      <c r="N33" s="1"/>
    </row>
    <row r="34" spans="1:14">
      <c r="A34" s="9" t="s">
        <v>1</v>
      </c>
      <c r="B34" s="154">
        <f>SUM(B29:B33)</f>
        <v>15328</v>
      </c>
      <c r="C34" s="176">
        <f>SUM(C29:C33)</f>
        <v>1</v>
      </c>
      <c r="D34" s="180">
        <f>B34/National!B34</f>
        <v>3.7914616915934824E-3</v>
      </c>
      <c r="E34" s="51"/>
      <c r="F34" s="163" t="s">
        <v>19</v>
      </c>
      <c r="G34" s="169">
        <v>108474</v>
      </c>
      <c r="H34" s="106">
        <f t="shared" si="3"/>
        <v>0.12085162325363756</v>
      </c>
      <c r="I34" s="113">
        <f>+G34/National!G34</f>
        <v>1.2630945011828192E-2</v>
      </c>
      <c r="J34" s="1"/>
      <c r="K34" s="1"/>
      <c r="L34" s="1"/>
      <c r="M34" s="1"/>
      <c r="N34" s="1"/>
    </row>
    <row r="35" spans="1:14">
      <c r="B35" s="49"/>
      <c r="C35" s="96"/>
      <c r="D35" s="96"/>
      <c r="E35" s="51"/>
      <c r="F35" s="163" t="s">
        <v>20</v>
      </c>
      <c r="G35" s="169">
        <v>10509</v>
      </c>
      <c r="H35" s="106">
        <f t="shared" si="3"/>
        <v>1.1708148577285591E-2</v>
      </c>
      <c r="I35" s="113">
        <f>+G35/National!G35</f>
        <v>7.8825045527483118E-4</v>
      </c>
      <c r="J35" s="1"/>
      <c r="K35" s="1"/>
      <c r="L35" s="1"/>
      <c r="M35" s="1"/>
      <c r="N35" s="1"/>
    </row>
    <row r="36" spans="1:14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4276</v>
      </c>
      <c r="H36" s="106">
        <f t="shared" si="3"/>
        <v>4.7639207647229218E-3</v>
      </c>
      <c r="I36" s="113">
        <f>+G36/National!G36</f>
        <v>2.7028101577370372E-4</v>
      </c>
      <c r="J36" s="1"/>
      <c r="K36" s="1"/>
      <c r="L36" s="1"/>
      <c r="M36" s="1"/>
      <c r="N36" s="1"/>
    </row>
    <row r="37" spans="1:14">
      <c r="A37" s="146" t="s">
        <v>5</v>
      </c>
      <c r="B37" s="149">
        <f>2125+285</f>
        <v>2410</v>
      </c>
      <c r="C37" s="174">
        <f>B37/B$43</f>
        <v>7.7472032917577469E-2</v>
      </c>
      <c r="D37" s="77">
        <f>B37/National!B37</f>
        <v>1.1283405434762252E-2</v>
      </c>
      <c r="E37" s="51"/>
      <c r="F37" s="163" t="s">
        <v>22</v>
      </c>
      <c r="G37" s="170">
        <v>54877</v>
      </c>
      <c r="H37" s="106">
        <f t="shared" si="3"/>
        <v>6.113883999197843E-2</v>
      </c>
      <c r="I37" s="114">
        <f>+G37/National!G37</f>
        <v>2.1389399281661987E-3</v>
      </c>
      <c r="J37" s="1"/>
      <c r="K37" s="1"/>
    </row>
    <row r="38" spans="1:14">
      <c r="A38" s="146" t="s">
        <v>7</v>
      </c>
      <c r="B38" s="157">
        <f>1633+229</f>
        <v>1862</v>
      </c>
      <c r="C38" s="175">
        <f t="shared" ref="C38:C42" si="4">B38/B$43</f>
        <v>5.9855985598559855E-2</v>
      </c>
      <c r="D38" s="78">
        <f>B38/National!B38</f>
        <v>3.8993294493610713E-3</v>
      </c>
      <c r="E38" s="51"/>
      <c r="F38" s="47" t="s">
        <v>1</v>
      </c>
      <c r="G38" s="187">
        <f>SUM(G31:G37)</f>
        <v>897580</v>
      </c>
      <c r="H38" s="188">
        <f>SUM(H31:H37)</f>
        <v>1</v>
      </c>
      <c r="I38" s="188">
        <f>+G38/National!G39</f>
        <v>4.4593641497597345E-3</v>
      </c>
      <c r="J38" s="1"/>
      <c r="K38" s="1"/>
    </row>
    <row r="39" spans="1:14">
      <c r="A39" s="146" t="s">
        <v>6</v>
      </c>
      <c r="B39" s="157">
        <f>887+533</f>
        <v>1420</v>
      </c>
      <c r="C39" s="175">
        <f t="shared" si="4"/>
        <v>4.5647421885045648E-2</v>
      </c>
      <c r="D39" s="78">
        <f>B39/National!B39</f>
        <v>2.5692754462306737E-3</v>
      </c>
      <c r="E39" s="51"/>
      <c r="H39" s="87"/>
      <c r="I39" s="87"/>
      <c r="J39" s="1"/>
      <c r="K39" s="1"/>
    </row>
    <row r="40" spans="1:14" ht="23.25">
      <c r="A40" s="146" t="s">
        <v>30</v>
      </c>
      <c r="B40" s="157">
        <f>2792+715+2065</f>
        <v>5572</v>
      </c>
      <c r="C40" s="175">
        <f t="shared" si="4"/>
        <v>0.17911791179117911</v>
      </c>
      <c r="D40" s="78">
        <f>B40/National!B40</f>
        <v>3.4634639363398919E-3</v>
      </c>
      <c r="E40" s="51"/>
      <c r="F40" s="5" t="s">
        <v>185</v>
      </c>
      <c r="G40" s="51"/>
      <c r="H40" s="87" t="s">
        <v>197</v>
      </c>
      <c r="I40" s="124" t="s">
        <v>198</v>
      </c>
      <c r="J40" s="1"/>
      <c r="K40" s="1"/>
    </row>
    <row r="41" spans="1:14">
      <c r="A41" s="146" t="s">
        <v>8</v>
      </c>
      <c r="B41" s="157">
        <f>16522+3322</f>
        <v>19844</v>
      </c>
      <c r="C41" s="175">
        <f t="shared" si="4"/>
        <v>0.63790664780763795</v>
      </c>
      <c r="D41" s="78">
        <f>B41/National!B41</f>
        <v>3.5571623295003554E-3</v>
      </c>
      <c r="E41" s="51"/>
      <c r="F41" s="163" t="s">
        <v>38</v>
      </c>
      <c r="G41" s="168">
        <v>464815</v>
      </c>
      <c r="H41" s="189">
        <f>G41/G$47</f>
        <v>0.49146830935282226</v>
      </c>
      <c r="I41" s="113">
        <f>+G41/National!G42</f>
        <v>5.1254343411808612E-3</v>
      </c>
      <c r="J41" s="1"/>
      <c r="K41" s="1"/>
    </row>
    <row r="42" spans="1:14">
      <c r="A42" s="156" t="s">
        <v>29</v>
      </c>
      <c r="B42" s="150">
        <v>0</v>
      </c>
      <c r="C42" s="175">
        <f t="shared" si="4"/>
        <v>0</v>
      </c>
      <c r="D42" s="78">
        <f>B42/National!B42</f>
        <v>0</v>
      </c>
      <c r="E42" s="51"/>
      <c r="F42" s="163" t="s">
        <v>39</v>
      </c>
      <c r="G42" s="169">
        <v>301634</v>
      </c>
      <c r="H42" s="86">
        <f t="shared" ref="H42:H46" si="5">G42/G$47</f>
        <v>0.31893022390269071</v>
      </c>
      <c r="I42" s="113">
        <f>+G42/National!G43</f>
        <v>6.7728651673422038E-3</v>
      </c>
      <c r="J42" s="1"/>
      <c r="K42" s="1"/>
    </row>
    <row r="43" spans="1:14">
      <c r="A43" s="9" t="s">
        <v>1</v>
      </c>
      <c r="B43" s="154">
        <f>SUM(B37:B42)</f>
        <v>31108</v>
      </c>
      <c r="C43" s="178">
        <f>SUM(C37:C42)</f>
        <v>1</v>
      </c>
      <c r="D43" s="179">
        <f>B43/National!B43</f>
        <v>3.6666800644839697E-3</v>
      </c>
      <c r="E43" s="51"/>
      <c r="F43" s="163" t="s">
        <v>40</v>
      </c>
      <c r="G43" s="169">
        <v>62409</v>
      </c>
      <c r="H43" s="86">
        <f t="shared" si="5"/>
        <v>6.5987641789529775E-2</v>
      </c>
      <c r="I43" s="113">
        <f>+G43/National!G44</f>
        <v>4.7636912519869708E-3</v>
      </c>
      <c r="J43" s="1"/>
      <c r="K43" s="1"/>
    </row>
    <row r="44" spans="1:14">
      <c r="A44" s="1"/>
      <c r="B44" s="49"/>
      <c r="C44" s="96"/>
      <c r="D44" s="96"/>
      <c r="E44" s="51"/>
      <c r="F44" s="163" t="s">
        <v>41</v>
      </c>
      <c r="G44" s="169">
        <v>47125</v>
      </c>
      <c r="H44" s="86">
        <f t="shared" si="5"/>
        <v>4.9827230356704819E-2</v>
      </c>
      <c r="I44" s="113">
        <f>+G44/National!G45</f>
        <v>3.200880828065323E-3</v>
      </c>
      <c r="J44" s="1"/>
      <c r="K44" s="1"/>
    </row>
    <row r="45" spans="1:14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25788</v>
      </c>
      <c r="H45" s="86">
        <f t="shared" si="5"/>
        <v>2.7266729261298753E-2</v>
      </c>
      <c r="I45" s="113">
        <f>+G45/National!G46</f>
        <v>3.0999458459126886E-3</v>
      </c>
      <c r="J45" s="1"/>
      <c r="K45" s="1"/>
    </row>
    <row r="46" spans="1:14">
      <c r="A46" s="8" t="s">
        <v>3</v>
      </c>
      <c r="B46" s="52">
        <v>2393</v>
      </c>
      <c r="C46" s="93">
        <f>B46/B$48</f>
        <v>0.49188078108941419</v>
      </c>
      <c r="D46" s="77">
        <f>B46/National!B48</f>
        <v>2.4161515642890175E-3</v>
      </c>
      <c r="E46" s="51"/>
      <c r="F46" s="163" t="s">
        <v>43</v>
      </c>
      <c r="G46" s="170">
        <v>43997</v>
      </c>
      <c r="H46" s="86">
        <f t="shared" si="5"/>
        <v>4.6519865336953674E-2</v>
      </c>
      <c r="I46" s="113">
        <f>+G46/National!G47</f>
        <v>5.5230822205760638E-3</v>
      </c>
      <c r="J46" s="1"/>
      <c r="K46" s="1"/>
    </row>
    <row r="47" spans="1:14">
      <c r="A47" s="8" t="s">
        <v>2</v>
      </c>
      <c r="B47" s="52">
        <v>2472</v>
      </c>
      <c r="C47" s="97">
        <f>B47/B$48</f>
        <v>0.50811921891058587</v>
      </c>
      <c r="D47" s="78">
        <f>B47/National!B49</f>
        <v>1.2465388628156752E-3</v>
      </c>
      <c r="E47" s="51"/>
      <c r="F47" s="9" t="s">
        <v>1</v>
      </c>
      <c r="G47" s="191">
        <f>SUM(G41:G46)</f>
        <v>945768</v>
      </c>
      <c r="H47" s="182">
        <f>SUM(H41:H46)</f>
        <v>1</v>
      </c>
      <c r="I47" s="188">
        <f>+G47/National!G49</f>
        <v>5.2131582493673001E-3</v>
      </c>
      <c r="J47" s="1"/>
      <c r="K47" s="1"/>
    </row>
    <row r="48" spans="1:14">
      <c r="A48" s="9" t="s">
        <v>1</v>
      </c>
      <c r="B48" s="155">
        <f>SUM(B46:B47)</f>
        <v>4865</v>
      </c>
      <c r="C48" s="165">
        <f>SUM(C46:C47)</f>
        <v>1</v>
      </c>
      <c r="D48" s="177">
        <f>B48/National!B50</f>
        <v>1.6361140995369444E-3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 t="s">
        <v>159</v>
      </c>
      <c r="H49" s="88"/>
      <c r="I49" s="124" t="s">
        <v>198</v>
      </c>
    </row>
    <row r="50" spans="1:9" ht="23.25">
      <c r="A50" s="5" t="s">
        <v>160</v>
      </c>
      <c r="B50" s="51"/>
      <c r="C50" s="89" t="s">
        <v>197</v>
      </c>
      <c r="D50" s="119" t="s">
        <v>198</v>
      </c>
      <c r="E50" s="51"/>
      <c r="F50" s="163" t="s">
        <v>96</v>
      </c>
      <c r="G50" s="193">
        <v>103595</v>
      </c>
      <c r="H50" s="189">
        <f>G50/G$52</f>
        <v>0.87805766981403943</v>
      </c>
      <c r="I50" s="113">
        <f>+G50/National!G52</f>
        <v>3.3053405970103348E-3</v>
      </c>
    </row>
    <row r="51" spans="1:9">
      <c r="A51" s="146" t="s">
        <v>5</v>
      </c>
      <c r="B51" s="149">
        <f>803+662</f>
        <v>1465</v>
      </c>
      <c r="C51" s="174">
        <f>B51/B$57</f>
        <v>0.30113052415210689</v>
      </c>
      <c r="D51" s="77">
        <f>B51/National!B53</f>
        <v>2.0364730233353398E-3</v>
      </c>
      <c r="E51" s="51"/>
      <c r="F51" s="163" t="s">
        <v>97</v>
      </c>
      <c r="G51" s="194">
        <v>14387</v>
      </c>
      <c r="H51" s="86">
        <f>G51/G$52</f>
        <v>0.12194233018596057</v>
      </c>
      <c r="I51" s="113">
        <f>+G51/National!G53</f>
        <v>2.8529609657749785E-3</v>
      </c>
    </row>
    <row r="52" spans="1:9">
      <c r="A52" s="146" t="s">
        <v>7</v>
      </c>
      <c r="B52" s="157">
        <f>309+448</f>
        <v>757</v>
      </c>
      <c r="C52" s="175">
        <f t="shared" ref="C52:C56" si="6">B52/B$57</f>
        <v>0.15560123329907502</v>
      </c>
      <c r="D52" s="78">
        <f>B52/National!B54</f>
        <v>1.1053240994236837E-3</v>
      </c>
      <c r="E52" s="51"/>
      <c r="F52" s="60" t="s">
        <v>1</v>
      </c>
      <c r="G52" s="190">
        <f>SUM(G50:G51)</f>
        <v>117982</v>
      </c>
      <c r="H52" s="185">
        <f>SUM(H50:H51)</f>
        <v>1</v>
      </c>
      <c r="I52" s="192">
        <f>+G52/National!G54</f>
        <v>3.2426415916895239E-3</v>
      </c>
    </row>
    <row r="53" spans="1:9">
      <c r="A53" s="146" t="s">
        <v>6</v>
      </c>
      <c r="B53" s="157">
        <f>158+732</f>
        <v>890</v>
      </c>
      <c r="C53" s="175">
        <f t="shared" si="6"/>
        <v>0.1829393627954779</v>
      </c>
      <c r="D53" s="78">
        <f>B53/National!B55</f>
        <v>1.6823942171006866E-3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548+154+339</f>
        <v>1041</v>
      </c>
      <c r="C54" s="175">
        <f t="shared" si="6"/>
        <v>0.21397738951695786</v>
      </c>
      <c r="D54" s="78">
        <f>B54/National!B56</f>
        <v>2.4991177466168282E-3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421+291</f>
        <v>712</v>
      </c>
      <c r="C55" s="175">
        <f t="shared" si="6"/>
        <v>0.14635149023638233</v>
      </c>
      <c r="D55" s="78">
        <f>B55/National!B57</f>
        <v>1.7751980891687984E-3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0</v>
      </c>
      <c r="C56" s="175">
        <f t="shared" si="6"/>
        <v>0</v>
      </c>
      <c r="D56" s="78">
        <f>B56/National!B58</f>
        <v>0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4865</v>
      </c>
      <c r="C57" s="178">
        <f>SUM(C51:C56)</f>
        <v>1</v>
      </c>
      <c r="D57" s="177">
        <f>B57/National!B59</f>
        <v>1.6361140995369444E-3</v>
      </c>
      <c r="E57" s="51"/>
      <c r="F57" s="51"/>
      <c r="G57" s="51"/>
      <c r="H57" s="87"/>
      <c r="I57" s="87"/>
    </row>
    <row r="58" spans="1:9">
      <c r="B58" s="49"/>
      <c r="C58" s="49"/>
      <c r="D58" s="49"/>
      <c r="E58" s="49"/>
      <c r="F58" s="49"/>
      <c r="G58" s="49"/>
      <c r="H58" s="104"/>
      <c r="I58" s="104"/>
    </row>
    <row r="59" spans="1:9">
      <c r="A59" s="130"/>
      <c r="B59" s="49"/>
      <c r="C59" s="49"/>
      <c r="D59" s="49"/>
      <c r="E59" s="49"/>
      <c r="F59" s="49"/>
      <c r="G59" s="49"/>
      <c r="H59" s="104"/>
      <c r="I59" s="104"/>
    </row>
    <row r="60" spans="1:9">
      <c r="A60" s="131"/>
      <c r="B60" s="49"/>
      <c r="C60" s="49"/>
      <c r="D60" s="49"/>
      <c r="E60" s="49"/>
      <c r="F60" s="49"/>
      <c r="G60" s="49"/>
      <c r="H60" s="104"/>
      <c r="I60" s="104"/>
    </row>
    <row r="61" spans="1:9">
      <c r="B61" s="49"/>
      <c r="C61" s="49"/>
      <c r="D61" s="49"/>
      <c r="E61" s="49"/>
      <c r="F61" s="49"/>
      <c r="G61" s="49"/>
      <c r="H61" s="104"/>
      <c r="I61" s="104"/>
    </row>
    <row r="62" spans="1:9">
      <c r="B62" s="49"/>
      <c r="C62" s="49"/>
      <c r="D62" s="49"/>
      <c r="E62" s="49"/>
      <c r="F62" s="49"/>
      <c r="G62" s="49"/>
      <c r="H62" s="104"/>
      <c r="I62" s="104"/>
    </row>
    <row r="63" spans="1:9">
      <c r="B63" s="49"/>
      <c r="C63" s="49"/>
      <c r="D63" s="49"/>
      <c r="E63" s="49"/>
      <c r="F63" s="49"/>
      <c r="G63" s="49"/>
      <c r="H63" s="104"/>
      <c r="I63" s="104"/>
    </row>
    <row r="64" spans="1:9">
      <c r="B64" s="49"/>
      <c r="C64" s="49"/>
      <c r="D64" s="49"/>
      <c r="E64" s="49"/>
      <c r="F64" s="49"/>
      <c r="G64" s="49"/>
      <c r="H64" s="104"/>
      <c r="I64" s="104"/>
    </row>
    <row r="65" spans="2:7">
      <c r="B65" s="49"/>
      <c r="C65" s="49"/>
      <c r="D65" s="49"/>
      <c r="E65" s="49"/>
      <c r="F65" s="49"/>
      <c r="G65" s="49"/>
    </row>
  </sheetData>
  <hyperlinks>
    <hyperlink ref="F2" r:id="rId1"/>
  </hyperlinks>
  <pageMargins left="0.7" right="0.7" top="1" bottom="0.75" header="0.3" footer="0.3"/>
  <pageSetup scale="77" orientation="portrait"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68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2600167</v>
      </c>
      <c r="C4" s="99"/>
      <c r="D4" s="77">
        <f>B4/National!B4</f>
        <v>8.5515008886872506E-3</v>
      </c>
      <c r="E4" s="1"/>
      <c r="F4" s="146" t="s">
        <v>10</v>
      </c>
      <c r="G4" s="195">
        <v>869840</v>
      </c>
      <c r="H4" s="189">
        <f>G4/G$6</f>
        <v>0.51820916862768462</v>
      </c>
      <c r="I4" s="112">
        <f>+G4/National!G4</f>
        <v>8.3946673364076844E-3</v>
      </c>
    </row>
    <row r="5" spans="1:9">
      <c r="A5" s="8" t="s">
        <v>167</v>
      </c>
      <c r="B5" s="50">
        <f>108599+1227</f>
        <v>109826</v>
      </c>
      <c r="C5" s="100"/>
      <c r="D5" s="79">
        <f>B5/National!B5</f>
        <v>3.1046736892572906E-2</v>
      </c>
      <c r="E5" s="1"/>
      <c r="F5" s="146" t="s">
        <v>11</v>
      </c>
      <c r="G5" s="196">
        <v>808710</v>
      </c>
      <c r="H5" s="86">
        <f>G5/G$6</f>
        <v>0.48179083137231538</v>
      </c>
      <c r="I5" s="113">
        <f>+G5/National!G5</f>
        <v>7.7238888389218902E-3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1678550</v>
      </c>
      <c r="H6" s="182">
        <f>SUM(H4:H5)</f>
        <v>1</v>
      </c>
      <c r="I6" s="183">
        <f>+G6/National!G6</f>
        <v>8.0575324377064363E-3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1130628</v>
      </c>
      <c r="C8" s="174">
        <f>B8/B10</f>
        <v>0.76917132108331687</v>
      </c>
      <c r="D8" s="77">
        <f>B8/National!B8</f>
        <v>8.2765540962888139E-3</v>
      </c>
      <c r="E8" s="1"/>
      <c r="F8" s="146" t="s">
        <v>32</v>
      </c>
      <c r="G8" s="206">
        <f>24/100</f>
        <v>0.24</v>
      </c>
      <c r="H8" s="87"/>
      <c r="I8" s="87"/>
    </row>
    <row r="9" spans="1:9">
      <c r="A9" s="146" t="s">
        <v>169</v>
      </c>
      <c r="B9" s="150">
        <v>339302</v>
      </c>
      <c r="C9" s="175">
        <f>B9/B10</f>
        <v>0.2308286789166831</v>
      </c>
      <c r="D9" s="78">
        <f>B9/National!B9</f>
        <v>8.7992305684868495E-3</v>
      </c>
      <c r="E9" s="1"/>
      <c r="F9" s="146" t="s">
        <v>31</v>
      </c>
      <c r="G9" s="207">
        <f>27/100</f>
        <v>0.27</v>
      </c>
      <c r="H9" s="87"/>
      <c r="I9" s="87"/>
    </row>
    <row r="10" spans="1:9">
      <c r="A10" s="9" t="s">
        <v>9</v>
      </c>
      <c r="B10" s="152">
        <f>SUM(B8:B9)</f>
        <v>1469930</v>
      </c>
      <c r="C10" s="176">
        <f>SUM(C8:C9)</f>
        <v>1</v>
      </c>
      <c r="D10" s="165"/>
      <c r="E10" s="1"/>
      <c r="F10" s="146" t="s">
        <v>33</v>
      </c>
      <c r="G10" s="205">
        <f>24/100</f>
        <v>0.24</v>
      </c>
      <c r="H10" s="87"/>
      <c r="I10" s="87"/>
    </row>
    <row r="11" spans="1:9">
      <c r="A11" s="146" t="s">
        <v>170</v>
      </c>
      <c r="B11" s="149">
        <v>32141</v>
      </c>
      <c r="C11" s="93">
        <f>B11/(B12+B11)</f>
        <v>2.8427614436604146E-2</v>
      </c>
      <c r="D11" s="77">
        <f>B11/National!B11</f>
        <v>8.5223084502396452E-3</v>
      </c>
      <c r="E11" s="1"/>
      <c r="G11" s="49"/>
      <c r="H11" s="87"/>
      <c r="I11" s="86"/>
    </row>
    <row r="12" spans="1:9" ht="23.25">
      <c r="A12" s="146" t="s">
        <v>171</v>
      </c>
      <c r="B12" s="150">
        <v>1098485</v>
      </c>
      <c r="C12" s="95">
        <f>B12/(B11+B12)</f>
        <v>0.97157238556339587</v>
      </c>
      <c r="D12" s="79">
        <f>B12/National!B12</f>
        <v>8.3089591711459129E-3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699041</v>
      </c>
      <c r="H13" s="189">
        <f>G13/G$18</f>
        <v>0.47170445366804614</v>
      </c>
      <c r="I13" s="92">
        <f>+G13/National!G13</f>
        <v>5.0995170748773036E-3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715390</v>
      </c>
      <c r="H14" s="86">
        <f>G14/G$18</f>
        <v>0.48273656210377291</v>
      </c>
      <c r="I14" s="106">
        <f>+G14/National!G14</f>
        <v>6.4892933734707571E-3</v>
      </c>
    </row>
    <row r="15" spans="1:9">
      <c r="A15" s="146" t="s">
        <v>3</v>
      </c>
      <c r="B15" s="149">
        <v>26741</v>
      </c>
      <c r="C15" s="174">
        <f>B15/B$17</f>
        <v>0.78865720942578232</v>
      </c>
      <c r="D15" s="77">
        <f>B15/National!B15</f>
        <v>8.9818448570280814E-3</v>
      </c>
      <c r="E15" s="3"/>
      <c r="F15" s="146" t="s">
        <v>13</v>
      </c>
      <c r="G15" s="150">
        <v>2783</v>
      </c>
      <c r="H15" s="86">
        <f>G15/G$18</f>
        <v>1.8779349059041923E-3</v>
      </c>
      <c r="I15" s="106">
        <f>+G15/National!G15</f>
        <v>3.3000991334127031E-3</v>
      </c>
    </row>
    <row r="16" spans="1:9">
      <c r="A16" s="146" t="s">
        <v>2</v>
      </c>
      <c r="B16" s="150">
        <v>7166</v>
      </c>
      <c r="C16" s="175">
        <f>B16/B$17</f>
        <v>0.2113427905742177</v>
      </c>
      <c r="D16" s="78">
        <f>B16/National!B16</f>
        <v>6.7252285226270248E-3</v>
      </c>
      <c r="E16" s="1"/>
      <c r="F16" s="9" t="s">
        <v>1</v>
      </c>
      <c r="G16" s="162">
        <v>1417214</v>
      </c>
      <c r="H16" s="105"/>
      <c r="I16" s="106"/>
    </row>
    <row r="17" spans="1:9">
      <c r="A17" s="9" t="s">
        <v>1</v>
      </c>
      <c r="B17" s="154">
        <f>SUM(B15:B16)</f>
        <v>33907</v>
      </c>
      <c r="C17" s="176">
        <f>SUM(C15:C16)</f>
        <v>1</v>
      </c>
      <c r="D17" s="177">
        <f>B17/National!B17</f>
        <v>8.3870753899308592E-3</v>
      </c>
      <c r="E17" s="1"/>
      <c r="F17" s="108" t="s">
        <v>35</v>
      </c>
      <c r="G17" s="117">
        <v>64733</v>
      </c>
      <c r="H17" s="105">
        <f>G17/G$18</f>
        <v>4.3681049322276705E-2</v>
      </c>
      <c r="I17" s="106">
        <f>+G17/National!G17</f>
        <v>8.3998316218696408E-3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1481947</v>
      </c>
      <c r="H18" s="185">
        <f>SUM(H13:H17)</f>
        <v>0.99999999999999989</v>
      </c>
      <c r="I18" s="186">
        <f>+G18/National!G18</f>
        <v>5.7917694074849421E-3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443+128</f>
        <v>571</v>
      </c>
      <c r="C20" s="174">
        <f>B20/B$26</f>
        <v>1.6840180493703366E-2</v>
      </c>
      <c r="D20" s="77">
        <f>B20/National!B20</f>
        <v>1.2213642488930717E-2</v>
      </c>
      <c r="E20" s="51"/>
      <c r="F20" s="163" t="s">
        <v>3</v>
      </c>
      <c r="G20" s="108">
        <f>109+10</f>
        <v>119</v>
      </c>
      <c r="H20" s="189">
        <f>G20/G$23</f>
        <v>0.36728395061728397</v>
      </c>
      <c r="I20" s="92">
        <f>+G20/National!G20</f>
        <v>5.7192291055894653E-3</v>
      </c>
    </row>
    <row r="21" spans="1:9">
      <c r="A21" s="146" t="s">
        <v>7</v>
      </c>
      <c r="B21" s="157">
        <f>1409+295</f>
        <v>1704</v>
      </c>
      <c r="C21" s="175">
        <f t="shared" ref="C21:C25" si="0">B21/B$26</f>
        <v>5.025510956439673E-2</v>
      </c>
      <c r="D21" s="78">
        <f>B21/National!B21</f>
        <v>1.0682983712211453E-2</v>
      </c>
      <c r="E21" s="51"/>
      <c r="F21" s="163" t="s">
        <v>2</v>
      </c>
      <c r="G21" s="198">
        <f>172+28</f>
        <v>200</v>
      </c>
      <c r="H21" s="86">
        <f t="shared" ref="H21:H22" si="1">G21/G$23</f>
        <v>0.61728395061728392</v>
      </c>
      <c r="I21" s="106">
        <f>+G21/National!G21</f>
        <v>1.2534469791927802E-2</v>
      </c>
    </row>
    <row r="22" spans="1:9">
      <c r="A22" s="146" t="s">
        <v>6</v>
      </c>
      <c r="B22" s="157">
        <f>737+641</f>
        <v>1378</v>
      </c>
      <c r="C22" s="175">
        <f t="shared" si="0"/>
        <v>4.0640575692334917E-2</v>
      </c>
      <c r="D22" s="78">
        <f>B22/National!B22</f>
        <v>5.7132195941043554E-3</v>
      </c>
      <c r="E22" s="51"/>
      <c r="F22" s="163" t="s">
        <v>28</v>
      </c>
      <c r="G22" s="181">
        <v>5</v>
      </c>
      <c r="H22" s="86">
        <f t="shared" si="1"/>
        <v>1.5432098765432098E-2</v>
      </c>
      <c r="I22" s="106">
        <f>+G22/National!G22</f>
        <v>1.0040160642570281E-2</v>
      </c>
    </row>
    <row r="23" spans="1:9">
      <c r="A23" s="146" t="s">
        <v>30</v>
      </c>
      <c r="B23" s="157">
        <f>2075+2273+647</f>
        <v>4995</v>
      </c>
      <c r="C23" s="175">
        <f t="shared" si="0"/>
        <v>0.14731471377591648</v>
      </c>
      <c r="D23" s="78">
        <f>B23/National!B23</f>
        <v>6.2854935339322271E-3</v>
      </c>
      <c r="E23" s="51"/>
      <c r="F23" s="9" t="s">
        <v>1</v>
      </c>
      <c r="G23" s="197">
        <f>SUM(G20:G22)</f>
        <v>324</v>
      </c>
      <c r="H23" s="132">
        <f>SUM(H20:H22)</f>
        <v>0.99999999999999989</v>
      </c>
      <c r="I23" s="133">
        <f>+G23/National!G23</f>
        <v>8.6954188025012754E-3</v>
      </c>
    </row>
    <row r="24" spans="1:9">
      <c r="A24" s="146" t="s">
        <v>8</v>
      </c>
      <c r="B24" s="157">
        <f>19803+5387</f>
        <v>25190</v>
      </c>
      <c r="C24" s="175">
        <f t="shared" si="0"/>
        <v>0.74291444244551275</v>
      </c>
      <c r="D24" s="78">
        <f>B24/National!B24</f>
        <v>9.0309267114663735E-3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69</v>
      </c>
      <c r="C25" s="175">
        <f t="shared" si="0"/>
        <v>2.034978028135783E-3</v>
      </c>
      <c r="D25" s="78">
        <f>B25/National!B25</f>
        <v>6.0873400970445522E-3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33907</v>
      </c>
      <c r="C26" s="176">
        <f>SUM(C20:C25)</f>
        <v>1</v>
      </c>
      <c r="D26" s="177">
        <f>B26/National!B26</f>
        <v>8.3870546441085804E-3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979623</v>
      </c>
      <c r="H27" s="87"/>
      <c r="I27" s="113">
        <f>+G27/National!G27</f>
        <v>7.0946460926567412E-3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906377</v>
      </c>
      <c r="H28" s="87"/>
      <c r="I28" s="114">
        <f>+G28/National!G28</f>
        <v>6.8158556768201381E-3</v>
      </c>
    </row>
    <row r="29" spans="1:9">
      <c r="A29" s="146" t="s">
        <v>91</v>
      </c>
      <c r="B29" s="149">
        <f>4737+642</f>
        <v>5379</v>
      </c>
      <c r="C29" s="174">
        <f>B29/B$34</f>
        <v>0.15863980888901996</v>
      </c>
      <c r="D29" s="77">
        <f>B29/National!B29</f>
        <v>6.8985152609931863E-3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19739+2148</f>
        <v>21887</v>
      </c>
      <c r="C30" s="175">
        <f t="shared" ref="C30:C33" si="2">B30/B$34</f>
        <v>0.64550092901170852</v>
      </c>
      <c r="D30" s="78">
        <f>B30/National!B30</f>
        <v>1.2240736535860934E-2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233+4372</f>
        <v>4605</v>
      </c>
      <c r="C31" s="175">
        <f t="shared" si="2"/>
        <v>0.13581266405167075</v>
      </c>
      <c r="D31" s="78">
        <f>B31/National!B31</f>
        <v>3.5796461552812411E-3</v>
      </c>
      <c r="E31" s="51"/>
      <c r="F31" s="163" t="s">
        <v>16</v>
      </c>
      <c r="G31" s="168">
        <v>421642</v>
      </c>
      <c r="H31" s="92">
        <f>G31/G$38</f>
        <v>0.19159771396165609</v>
      </c>
      <c r="I31" s="112">
        <f>+G31/National!G31</f>
        <v>9.9816234269796949E-3</v>
      </c>
    </row>
    <row r="32" spans="1:9">
      <c r="A32" s="146" t="s">
        <v>94</v>
      </c>
      <c r="B32" s="157">
        <f>542</f>
        <v>542</v>
      </c>
      <c r="C32" s="175">
        <f t="shared" si="2"/>
        <v>1.598489987318253E-2</v>
      </c>
      <c r="D32" s="78">
        <f>B32/National!B32</f>
        <v>9.5059368258589537E-3</v>
      </c>
      <c r="E32" s="51"/>
      <c r="F32" s="163" t="s">
        <v>17</v>
      </c>
      <c r="G32" s="169">
        <v>740075</v>
      </c>
      <c r="H32" s="106">
        <f t="shared" ref="H32:H37" si="3">G32/G$38</f>
        <v>0.33629637977282301</v>
      </c>
      <c r="I32" s="113">
        <f>+G32/National!G32</f>
        <v>1.189597267456941E-2</v>
      </c>
    </row>
    <row r="33" spans="1:9">
      <c r="A33" s="146" t="s">
        <v>95</v>
      </c>
      <c r="B33" s="150">
        <f>1490+4</f>
        <v>1494</v>
      </c>
      <c r="C33" s="175">
        <f t="shared" si="2"/>
        <v>4.4061698174418261E-2</v>
      </c>
      <c r="D33" s="78">
        <f>B33/National!B33</f>
        <v>1.1358452695921905E-2</v>
      </c>
      <c r="E33" s="51"/>
      <c r="F33" s="163" t="s">
        <v>18</v>
      </c>
      <c r="G33" s="169">
        <v>330270</v>
      </c>
      <c r="H33" s="106">
        <f t="shared" si="3"/>
        <v>0.15007749937178022</v>
      </c>
      <c r="I33" s="113">
        <f>+G33/National!G33</f>
        <v>1.0396531001805723E-2</v>
      </c>
    </row>
    <row r="34" spans="1:9">
      <c r="A34" s="9" t="s">
        <v>1</v>
      </c>
      <c r="B34" s="154">
        <f>SUM(B29:B33)</f>
        <v>33907</v>
      </c>
      <c r="C34" s="176">
        <f>SUM(C29:C33)</f>
        <v>1</v>
      </c>
      <c r="D34" s="180">
        <f>B34/National!B34</f>
        <v>8.3870753899308592E-3</v>
      </c>
      <c r="E34" s="51"/>
      <c r="F34" s="163" t="s">
        <v>19</v>
      </c>
      <c r="G34" s="169">
        <v>0</v>
      </c>
      <c r="H34" s="106">
        <f t="shared" si="3"/>
        <v>0</v>
      </c>
      <c r="I34" s="113">
        <f>+G34/National!G34</f>
        <v>0</v>
      </c>
    </row>
    <row r="35" spans="1:9">
      <c r="B35" s="49"/>
      <c r="C35" s="96"/>
      <c r="D35" s="96"/>
      <c r="E35" s="51"/>
      <c r="F35" s="163" t="s">
        <v>20</v>
      </c>
      <c r="G35" s="169">
        <v>188102</v>
      </c>
      <c r="H35" s="106">
        <f t="shared" si="3"/>
        <v>8.5475149988889706E-2</v>
      </c>
      <c r="I35" s="113">
        <f>+G35/National!G35</f>
        <v>1.410900058408091E-2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117575</v>
      </c>
      <c r="H36" s="106">
        <f t="shared" si="3"/>
        <v>5.3427080838819939E-2</v>
      </c>
      <c r="I36" s="113">
        <f>+G36/National!G36</f>
        <v>7.4317798011209581E-3</v>
      </c>
    </row>
    <row r="37" spans="1:9">
      <c r="A37" s="146" t="s">
        <v>5</v>
      </c>
      <c r="B37" s="149">
        <f>1772+643</f>
        <v>2415</v>
      </c>
      <c r="C37" s="174">
        <f>B37/B$43</f>
        <v>3.3863843511182781E-2</v>
      </c>
      <c r="D37" s="77">
        <f>B37/National!B37</f>
        <v>1.1306814989606158E-2</v>
      </c>
      <c r="E37" s="51"/>
      <c r="F37" s="163" t="s">
        <v>22</v>
      </c>
      <c r="G37" s="170">
        <v>402999</v>
      </c>
      <c r="H37" s="106">
        <f t="shared" si="3"/>
        <v>0.18312617606603102</v>
      </c>
      <c r="I37" s="114">
        <f>+G37/National!G37</f>
        <v>1.570768540756692E-2</v>
      </c>
    </row>
    <row r="38" spans="1:9">
      <c r="A38" s="146" t="s">
        <v>7</v>
      </c>
      <c r="B38" s="157">
        <f>3036+1071</f>
        <v>4107</v>
      </c>
      <c r="C38" s="175">
        <f t="shared" ref="C38:C42" si="4">B38/B$43</f>
        <v>5.7589567412185377E-2</v>
      </c>
      <c r="D38" s="78">
        <f>B38/National!B38</f>
        <v>8.6007229046863153E-3</v>
      </c>
      <c r="E38" s="51"/>
      <c r="F38" s="47" t="s">
        <v>1</v>
      </c>
      <c r="G38" s="187">
        <f>SUM(G31:G37)</f>
        <v>2200663</v>
      </c>
      <c r="H38" s="188">
        <f>SUM(H31:H37)</f>
        <v>1</v>
      </c>
      <c r="I38" s="188">
        <f>+G38/National!G39</f>
        <v>1.093335155407062E-2</v>
      </c>
    </row>
    <row r="39" spans="1:9">
      <c r="A39" s="146" t="s">
        <v>6</v>
      </c>
      <c r="B39" s="157">
        <f>1518+2290</f>
        <v>3808</v>
      </c>
      <c r="C39" s="175">
        <f t="shared" si="4"/>
        <v>5.3396901072705602E-2</v>
      </c>
      <c r="D39" s="78">
        <f>B39/National!B39</f>
        <v>6.8900006332721173E-3</v>
      </c>
      <c r="E39" s="51"/>
      <c r="H39" s="87"/>
      <c r="I39" s="87"/>
    </row>
    <row r="40" spans="1:9" ht="23.25">
      <c r="A40" s="146" t="s">
        <v>30</v>
      </c>
      <c r="B40" s="157">
        <f>4181+4546+1566</f>
        <v>10293</v>
      </c>
      <c r="C40" s="175">
        <f t="shared" si="4"/>
        <v>0.14433148706443244</v>
      </c>
      <c r="D40" s="78">
        <f>B40/National!B40</f>
        <v>6.3979602111892513E-3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39606+10775</f>
        <v>50381</v>
      </c>
      <c r="C41" s="175">
        <f t="shared" si="4"/>
        <v>0.70645726705461687</v>
      </c>
      <c r="D41" s="78">
        <f>B41/National!B41</f>
        <v>9.0311124431847103E-3</v>
      </c>
      <c r="E41" s="51"/>
      <c r="F41" s="163" t="s">
        <v>38</v>
      </c>
      <c r="G41" s="168">
        <v>835746</v>
      </c>
      <c r="H41" s="189">
        <f>G41/G$47</f>
        <v>0.43771804171631334</v>
      </c>
      <c r="I41" s="113">
        <f>+G41/National!G42</f>
        <v>9.215626106955541E-3</v>
      </c>
    </row>
    <row r="42" spans="1:9">
      <c r="A42" s="156" t="s">
        <v>29</v>
      </c>
      <c r="B42" s="150">
        <v>311</v>
      </c>
      <c r="C42" s="175">
        <f t="shared" si="4"/>
        <v>4.3609338848769547E-3</v>
      </c>
      <c r="D42" s="78">
        <f>B42/National!B42</f>
        <v>5.892383478590375E-3</v>
      </c>
      <c r="E42" s="51"/>
      <c r="F42" s="163" t="s">
        <v>39</v>
      </c>
      <c r="G42" s="169">
        <v>365346</v>
      </c>
      <c r="H42" s="86">
        <f t="shared" ref="H42:H46" si="5">G42/G$47</f>
        <v>0.19134825134537076</v>
      </c>
      <c r="I42" s="113">
        <f>+G42/National!G43</f>
        <v>8.2034492047574382E-3</v>
      </c>
    </row>
    <row r="43" spans="1:9">
      <c r="A43" s="9" t="s">
        <v>1</v>
      </c>
      <c r="B43" s="154">
        <f>SUM(B37:B42)</f>
        <v>71315</v>
      </c>
      <c r="C43" s="178">
        <f>SUM(C37:C42)</f>
        <v>1</v>
      </c>
      <c r="D43" s="179">
        <f>B43/National!B43</f>
        <v>8.4058534395870608E-3</v>
      </c>
      <c r="E43" s="51"/>
      <c r="F43" s="163" t="s">
        <v>40</v>
      </c>
      <c r="G43" s="169">
        <v>149290</v>
      </c>
      <c r="H43" s="86">
        <f t="shared" si="5"/>
        <v>7.8189936234009397E-2</v>
      </c>
      <c r="I43" s="113">
        <f>+G43/National!G44</f>
        <v>1.139533508002267E-2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241957</v>
      </c>
      <c r="H44" s="86">
        <f t="shared" si="5"/>
        <v>0.12672384219554031</v>
      </c>
      <c r="I44" s="113">
        <f>+G44/National!G45</f>
        <v>1.6434493846497641E-2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60660</v>
      </c>
      <c r="H45" s="86">
        <f t="shared" si="5"/>
        <v>3.1770390059314153E-2</v>
      </c>
      <c r="I45" s="113">
        <f>+G45/National!G46</f>
        <v>7.2918688930147238E-3</v>
      </c>
    </row>
    <row r="46" spans="1:9">
      <c r="A46" s="8" t="s">
        <v>3</v>
      </c>
      <c r="B46" s="52">
        <v>4868</v>
      </c>
      <c r="C46" s="93">
        <f>B46/B$48</f>
        <v>0.23426371511068336</v>
      </c>
      <c r="D46" s="77">
        <f>B46/National!B48</f>
        <v>4.9150964542243776E-3</v>
      </c>
      <c r="E46" s="51"/>
      <c r="F46" s="163" t="s">
        <v>43</v>
      </c>
      <c r="G46" s="170">
        <v>256326</v>
      </c>
      <c r="H46" s="86">
        <f t="shared" si="5"/>
        <v>0.13424953844945203</v>
      </c>
      <c r="I46" s="113">
        <f>+G46/National!G47</f>
        <v>3.2177411488769236E-2</v>
      </c>
    </row>
    <row r="47" spans="1:9">
      <c r="A47" s="8" t="s">
        <v>2</v>
      </c>
      <c r="B47" s="52">
        <v>15912</v>
      </c>
      <c r="C47" s="97">
        <f>B47/B$48</f>
        <v>0.76573628488931667</v>
      </c>
      <c r="D47" s="78">
        <f>B47/National!B49</f>
        <v>8.023837534434879E-3</v>
      </c>
      <c r="E47" s="51"/>
      <c r="F47" s="9" t="s">
        <v>1</v>
      </c>
      <c r="G47" s="191">
        <f>SUM(G41:G46)</f>
        <v>1909325</v>
      </c>
      <c r="H47" s="182">
        <f>SUM(H41:H46)</f>
        <v>1</v>
      </c>
      <c r="I47" s="188">
        <f>+G47/National!G49</f>
        <v>1.0524371066131674E-2</v>
      </c>
    </row>
    <row r="48" spans="1:9">
      <c r="A48" s="9" t="s">
        <v>1</v>
      </c>
      <c r="B48" s="155">
        <f>SUM(B46:B47)</f>
        <v>20780</v>
      </c>
      <c r="C48" s="165">
        <f>SUM(C46:C47)</f>
        <v>1</v>
      </c>
      <c r="D48" s="177">
        <f>B48/National!B50</f>
        <v>6.9883763593787673E-3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273745</v>
      </c>
      <c r="H50" s="189">
        <f>G50/G$52</f>
        <v>0.86252040154011933</v>
      </c>
      <c r="I50" s="113">
        <f>+G50/National!G52</f>
        <v>8.7342097758443364E-3</v>
      </c>
    </row>
    <row r="51" spans="1:9">
      <c r="A51" s="146" t="s">
        <v>5</v>
      </c>
      <c r="B51" s="149">
        <f>1826+3515</f>
        <v>5341</v>
      </c>
      <c r="C51" s="174">
        <f>B51/B$57</f>
        <v>0.25702598652550529</v>
      </c>
      <c r="D51" s="77">
        <f>B51/National!B53</f>
        <v>7.4244385103304092E-3</v>
      </c>
      <c r="E51" s="51"/>
      <c r="F51" s="163" t="s">
        <v>97</v>
      </c>
      <c r="G51" s="194">
        <v>43633</v>
      </c>
      <c r="H51" s="86">
        <f>G51/G$52</f>
        <v>0.13747959845988064</v>
      </c>
      <c r="I51" s="113">
        <f>+G51/National!G53</f>
        <v>8.6524811162618769E-3</v>
      </c>
    </row>
    <row r="52" spans="1:9">
      <c r="A52" s="146" t="s">
        <v>7</v>
      </c>
      <c r="B52" s="157">
        <f>1484+2633</f>
        <v>4117</v>
      </c>
      <c r="C52" s="175">
        <f t="shared" ref="C52:C56" si="6">B52/B$57</f>
        <v>0.19812319538017326</v>
      </c>
      <c r="D52" s="78">
        <f>B52/National!B54</f>
        <v>6.0113861523478284E-3</v>
      </c>
      <c r="E52" s="51"/>
      <c r="F52" s="60" t="s">
        <v>1</v>
      </c>
      <c r="G52" s="190">
        <f>SUM(G50:G51)</f>
        <v>317378</v>
      </c>
      <c r="H52" s="185">
        <f>SUM(H50:H51)</f>
        <v>1</v>
      </c>
      <c r="I52" s="192">
        <f>+G52/National!G54</f>
        <v>8.7228823302473064E-3</v>
      </c>
    </row>
    <row r="53" spans="1:9">
      <c r="A53" s="146" t="s">
        <v>6</v>
      </c>
      <c r="B53" s="157">
        <f>509+4301</f>
        <v>4810</v>
      </c>
      <c r="C53" s="175">
        <f t="shared" si="6"/>
        <v>0.23147256977863331</v>
      </c>
      <c r="D53" s="78">
        <f>B53/National!B55</f>
        <v>9.0924900946677562E-3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410+153+1162</f>
        <v>1725</v>
      </c>
      <c r="C54" s="175">
        <f t="shared" si="6"/>
        <v>8.3012512030798846E-2</v>
      </c>
      <c r="D54" s="78">
        <f>B54/National!B56</f>
        <v>4.1411893495811999E-3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486+2530</f>
        <v>3016</v>
      </c>
      <c r="C55" s="175">
        <f t="shared" si="6"/>
        <v>0.14513955726660249</v>
      </c>
      <c r="D55" s="78">
        <f>B55/National!B57</f>
        <v>7.5196593215352469E-3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1771</v>
      </c>
      <c r="C56" s="175">
        <f t="shared" si="6"/>
        <v>8.5226179018286816E-2</v>
      </c>
      <c r="D56" s="78">
        <f>B56/National!B58</f>
        <v>7.9551171481960607E-3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20780</v>
      </c>
      <c r="C57" s="178">
        <f>SUM(C51:C56)</f>
        <v>0.99999999999999989</v>
      </c>
      <c r="D57" s="177">
        <f>B57/National!B59</f>
        <v>6.9883763593787673E-3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69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1315809</v>
      </c>
      <c r="C4" s="99"/>
      <c r="D4" s="77">
        <f>B4/National!B4</f>
        <v>4.3274689021292412E-3</v>
      </c>
      <c r="E4" s="1"/>
      <c r="F4" s="146" t="s">
        <v>10</v>
      </c>
      <c r="G4" s="195">
        <v>517122</v>
      </c>
      <c r="H4" s="189">
        <f>G4/G$6</f>
        <v>0.50149637591911234</v>
      </c>
      <c r="I4" s="112">
        <f>+G4/National!G4</f>
        <v>4.9906501912280587E-3</v>
      </c>
    </row>
    <row r="5" spans="1:9">
      <c r="A5" s="8" t="s">
        <v>167</v>
      </c>
      <c r="B5" s="50">
        <f>8250+718</f>
        <v>8968</v>
      </c>
      <c r="C5" s="100"/>
      <c r="D5" s="79">
        <f>B5/National!B5</f>
        <v>2.5351659575382317E-3</v>
      </c>
      <c r="E5" s="1"/>
      <c r="F5" s="146" t="s">
        <v>11</v>
      </c>
      <c r="G5" s="196">
        <v>514036</v>
      </c>
      <c r="H5" s="86">
        <f>G5/G$6</f>
        <v>0.49850362408088772</v>
      </c>
      <c r="I5" s="113">
        <f>+G5/National!G5</f>
        <v>4.9094940376699344E-3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1031158</v>
      </c>
      <c r="H6" s="182">
        <f>SUM(H4:H5)</f>
        <v>1</v>
      </c>
      <c r="I6" s="183">
        <f>+G6/National!G6</f>
        <v>4.949860911739593E-3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719081</v>
      </c>
      <c r="C8" s="174">
        <f>B8/B10</f>
        <v>0.8790119502821323</v>
      </c>
      <c r="D8" s="77">
        <f>B8/National!B8</f>
        <v>5.2639000591825575E-3</v>
      </c>
      <c r="E8" s="1"/>
      <c r="F8" s="146" t="s">
        <v>32</v>
      </c>
      <c r="G8" s="206">
        <f>19.6/100</f>
        <v>0.19600000000000001</v>
      </c>
      <c r="H8" s="87"/>
      <c r="I8" s="87"/>
    </row>
    <row r="9" spans="1:9">
      <c r="A9" s="146" t="s">
        <v>169</v>
      </c>
      <c r="B9" s="150">
        <v>98975</v>
      </c>
      <c r="C9" s="175">
        <f>B9/B10</f>
        <v>0.12098804971786772</v>
      </c>
      <c r="D9" s="78">
        <f>B9/National!B9</f>
        <v>2.5667512879852935E-3</v>
      </c>
      <c r="E9" s="1"/>
      <c r="F9" s="146" t="s">
        <v>31</v>
      </c>
      <c r="G9" s="207">
        <f>19.6/100</f>
        <v>0.19600000000000001</v>
      </c>
      <c r="H9" s="87"/>
      <c r="I9" s="87"/>
    </row>
    <row r="10" spans="1:9">
      <c r="A10" s="9" t="s">
        <v>9</v>
      </c>
      <c r="B10" s="152">
        <f>SUM(B8:B9)</f>
        <v>818056</v>
      </c>
      <c r="C10" s="176">
        <f>SUM(C8:C9)</f>
        <v>1</v>
      </c>
      <c r="D10" s="165"/>
      <c r="E10" s="1"/>
      <c r="F10" s="146" t="s">
        <v>33</v>
      </c>
      <c r="G10" s="210" t="s">
        <v>207</v>
      </c>
      <c r="H10" s="87"/>
      <c r="I10" s="87"/>
    </row>
    <row r="11" spans="1:9">
      <c r="A11" s="146" t="s">
        <v>170</v>
      </c>
      <c r="B11" s="149">
        <v>18290</v>
      </c>
      <c r="C11" s="93">
        <f>B11/(B12+B11)</f>
        <v>2.5435915122757148E-2</v>
      </c>
      <c r="D11" s="77">
        <f>B11/National!B11</f>
        <v>4.8496630955752193E-3</v>
      </c>
      <c r="E11" s="1"/>
      <c r="G11" s="49"/>
      <c r="H11" s="87"/>
      <c r="I11" s="86"/>
    </row>
    <row r="12" spans="1:9" ht="23.25">
      <c r="A12" s="146" t="s">
        <v>171</v>
      </c>
      <c r="B12" s="150">
        <v>700772</v>
      </c>
      <c r="C12" s="95">
        <f>B12/(B11+B12)</f>
        <v>0.97456408487724289</v>
      </c>
      <c r="D12" s="79">
        <f>B12/National!B12</f>
        <v>5.300651293629193E-3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650130</v>
      </c>
      <c r="H13" s="189">
        <f>G13/G$18</f>
        <v>0.50216893601638757</v>
      </c>
      <c r="I13" s="92">
        <f>+G13/National!G13</f>
        <v>4.7427104216919772E-3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561847</v>
      </c>
      <c r="H14" s="86">
        <f>G14/G$18</f>
        <v>0.43397798931598186</v>
      </c>
      <c r="I14" s="106">
        <f>+G14/National!G14</f>
        <v>5.096506820062378E-3</v>
      </c>
    </row>
    <row r="15" spans="1:9">
      <c r="A15" s="146" t="s">
        <v>3</v>
      </c>
      <c r="B15" s="149">
        <v>11098</v>
      </c>
      <c r="C15" s="174">
        <f>B15/B$17</f>
        <v>0.69336498812945146</v>
      </c>
      <c r="D15" s="77">
        <f>B15/National!B15</f>
        <v>3.7276285188772912E-3</v>
      </c>
      <c r="E15" s="3"/>
      <c r="F15" s="146" t="s">
        <v>13</v>
      </c>
      <c r="G15" s="150">
        <v>1978</v>
      </c>
      <c r="H15" s="86">
        <f>G15/G$18</f>
        <v>1.5278331340507507E-3</v>
      </c>
      <c r="I15" s="106">
        <f>+G15/National!G15</f>
        <v>2.3455250039131612E-3</v>
      </c>
    </row>
    <row r="16" spans="1:9">
      <c r="A16" s="146" t="s">
        <v>2</v>
      </c>
      <c r="B16" s="150">
        <v>4908</v>
      </c>
      <c r="C16" s="175">
        <f>B16/B$17</f>
        <v>0.30663501187054854</v>
      </c>
      <c r="D16" s="78">
        <f>B16/National!B16</f>
        <v>4.6061152091897064E-3</v>
      </c>
      <c r="E16" s="1"/>
      <c r="F16" s="9" t="s">
        <v>1</v>
      </c>
      <c r="G16" s="162">
        <v>1213955</v>
      </c>
      <c r="H16" s="105"/>
      <c r="I16" s="106"/>
    </row>
    <row r="17" spans="1:9">
      <c r="A17" s="9" t="s">
        <v>1</v>
      </c>
      <c r="B17" s="154">
        <f>SUM(B15:B16)</f>
        <v>16006</v>
      </c>
      <c r="C17" s="176">
        <f>SUM(C15:C16)</f>
        <v>1</v>
      </c>
      <c r="D17" s="177">
        <f>B17/National!B17</f>
        <v>3.9591685696532672E-3</v>
      </c>
      <c r="E17" s="1"/>
      <c r="F17" s="108" t="s">
        <v>35</v>
      </c>
      <c r="G17" s="117">
        <f>80689+0</f>
        <v>80689</v>
      </c>
      <c r="H17" s="105">
        <f>G17/G$18</f>
        <v>6.2325241533579885E-2</v>
      </c>
      <c r="I17" s="106">
        <f>+G17/National!G17</f>
        <v>1.0470301295120563E-2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1294644</v>
      </c>
      <c r="H18" s="185">
        <f>SUM(H13:H17)</f>
        <v>1.0000000000000002</v>
      </c>
      <c r="I18" s="186">
        <f>+G18/National!G18</f>
        <v>5.0597487715714094E-3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149+76</f>
        <v>225</v>
      </c>
      <c r="C20" s="174">
        <f>B20/B$26</f>
        <v>1.4058106841611996E-2</v>
      </c>
      <c r="D20" s="77">
        <f>B20/National!B20</f>
        <v>4.8127312784753268E-3</v>
      </c>
      <c r="E20" s="51"/>
      <c r="F20" s="163" t="s">
        <v>3</v>
      </c>
      <c r="G20" s="108">
        <f>47+81</f>
        <v>128</v>
      </c>
      <c r="H20" s="189">
        <f>G20/G$23</f>
        <v>0.92086330935251803</v>
      </c>
      <c r="I20" s="92">
        <f>+G20/National!G20</f>
        <v>6.1517758446676596E-3</v>
      </c>
    </row>
    <row r="21" spans="1:9">
      <c r="A21" s="146" t="s">
        <v>7</v>
      </c>
      <c r="B21" s="157">
        <f>358+218</f>
        <v>576</v>
      </c>
      <c r="C21" s="175">
        <f t="shared" ref="C21:C25" si="0">B21/B$26</f>
        <v>3.5988753514526711E-2</v>
      </c>
      <c r="D21" s="78">
        <f>B21/National!B21</f>
        <v>3.611149423846125E-3</v>
      </c>
      <c r="E21" s="51"/>
      <c r="F21" s="163" t="s">
        <v>2</v>
      </c>
      <c r="G21" s="198">
        <f>2+9</f>
        <v>11</v>
      </c>
      <c r="H21" s="86">
        <f t="shared" ref="H21:H22" si="1">G21/G$23</f>
        <v>7.9136690647482008E-2</v>
      </c>
      <c r="I21" s="106">
        <f>+G21/National!G21</f>
        <v>6.8939583855602907E-4</v>
      </c>
    </row>
    <row r="22" spans="1:9">
      <c r="A22" s="146" t="s">
        <v>6</v>
      </c>
      <c r="B22" s="157">
        <f>465+492</f>
        <v>957</v>
      </c>
      <c r="C22" s="175">
        <f t="shared" si="0"/>
        <v>5.9793814432989693E-2</v>
      </c>
      <c r="D22" s="78">
        <f>B22/National!B22</f>
        <v>3.9677439416239968E-3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503+1093+1145</f>
        <v>2741</v>
      </c>
      <c r="C23" s="175">
        <f t="shared" si="0"/>
        <v>0.17125898156825992</v>
      </c>
      <c r="D23" s="78">
        <f>B23/National!B23</f>
        <v>3.4491567120136608E-3</v>
      </c>
      <c r="E23" s="51"/>
      <c r="F23" s="9" t="s">
        <v>1</v>
      </c>
      <c r="G23" s="197">
        <f>SUM(G20:G22)</f>
        <v>139</v>
      </c>
      <c r="H23" s="132">
        <f>SUM(H20:H22)</f>
        <v>1</v>
      </c>
      <c r="I23" s="133">
        <f>+G23/National!G23</f>
        <v>3.7304420171224606E-3</v>
      </c>
    </row>
    <row r="24" spans="1:9">
      <c r="A24" s="146" t="s">
        <v>8</v>
      </c>
      <c r="B24" s="157">
        <f>7887+3563</f>
        <v>11450</v>
      </c>
      <c r="C24" s="175">
        <f t="shared" si="0"/>
        <v>0.71540143705092163</v>
      </c>
      <c r="D24" s="78">
        <f>B24/National!B24</f>
        <v>4.1049666870301696E-3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56</v>
      </c>
      <c r="C25" s="175">
        <f t="shared" si="0"/>
        <v>3.4989065916900966E-3</v>
      </c>
      <c r="D25" s="78">
        <f>B25/National!B25</f>
        <v>4.9404499338332594E-3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16005</v>
      </c>
      <c r="C26" s="176">
        <f>SUM(C20:C25)</f>
        <v>1</v>
      </c>
      <c r="D26" s="177">
        <f>B26/National!B26</f>
        <v>3.9589114217995647E-3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737335</v>
      </c>
      <c r="H27" s="87"/>
      <c r="I27" s="113">
        <f>+G27/National!G27</f>
        <v>5.3399428930609614E-3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681311</v>
      </c>
      <c r="H28" s="87"/>
      <c r="I28" s="114">
        <f>+G28/National!G28</f>
        <v>5.1233840300779973E-3</v>
      </c>
    </row>
    <row r="29" spans="1:9">
      <c r="A29" s="146" t="s">
        <v>91</v>
      </c>
      <c r="B29" s="149">
        <f>3207+765</f>
        <v>3972</v>
      </c>
      <c r="C29" s="174">
        <f>B29/B$34</f>
        <v>0.24817244611059044</v>
      </c>
      <c r="D29" s="77">
        <f>B29/National!B29</f>
        <v>5.0940514252955822E-3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v>0</v>
      </c>
      <c r="C30" s="175">
        <f t="shared" ref="C30:C33" si="2">B30/B$34</f>
        <v>0</v>
      </c>
      <c r="D30" s="78">
        <f>B30/National!B30</f>
        <v>0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7697+4137</f>
        <v>11834</v>
      </c>
      <c r="C31" s="175">
        <f t="shared" si="2"/>
        <v>0.73939393939393938</v>
      </c>
      <c r="D31" s="78">
        <f>B31/National!B31</f>
        <v>9.199029880911664E-3</v>
      </c>
      <c r="E31" s="51"/>
      <c r="F31" s="163" t="s">
        <v>16</v>
      </c>
      <c r="G31" s="168">
        <v>430117</v>
      </c>
      <c r="H31" s="92">
        <f>G31/G$38</f>
        <v>0.42221316946756715</v>
      </c>
      <c r="I31" s="112">
        <f>+G31/National!G31</f>
        <v>1.0182253958434468E-2</v>
      </c>
    </row>
    <row r="32" spans="1:9">
      <c r="A32" s="146" t="s">
        <v>94</v>
      </c>
      <c r="B32" s="157">
        <f>48+5</f>
        <v>53</v>
      </c>
      <c r="C32" s="175">
        <f t="shared" si="2"/>
        <v>3.31146516713527E-3</v>
      </c>
      <c r="D32" s="78">
        <f>B32/National!B32</f>
        <v>9.295473279898978E-4</v>
      </c>
      <c r="E32" s="51"/>
      <c r="F32" s="163" t="s">
        <v>17</v>
      </c>
      <c r="G32" s="169">
        <v>364415</v>
      </c>
      <c r="H32" s="106">
        <f t="shared" ref="H32:H37" si="3">G32/G$38</f>
        <v>0.35771850950212031</v>
      </c>
      <c r="I32" s="113">
        <f>+G32/National!G32</f>
        <v>5.857610218157905E-3</v>
      </c>
    </row>
    <row r="33" spans="1:9">
      <c r="A33" s="146" t="s">
        <v>95</v>
      </c>
      <c r="B33" s="150">
        <f>146+0</f>
        <v>146</v>
      </c>
      <c r="C33" s="175">
        <f t="shared" si="2"/>
        <v>9.1221493283348953E-3</v>
      </c>
      <c r="D33" s="78">
        <f>B33/National!B33</f>
        <v>1.1099960465894231E-3</v>
      </c>
      <c r="E33" s="51"/>
      <c r="F33" s="163" t="s">
        <v>18</v>
      </c>
      <c r="G33" s="169">
        <v>20602</v>
      </c>
      <c r="H33" s="106">
        <f t="shared" si="3"/>
        <v>2.0223417622114024E-2</v>
      </c>
      <c r="I33" s="113">
        <f>+G33/National!G33</f>
        <v>6.4852796711539502E-4</v>
      </c>
    </row>
    <row r="34" spans="1:9">
      <c r="A34" s="9" t="s">
        <v>1</v>
      </c>
      <c r="B34" s="154">
        <f>SUM(B29:B33)</f>
        <v>16005</v>
      </c>
      <c r="C34" s="176">
        <f>SUM(C29:C33)</f>
        <v>1</v>
      </c>
      <c r="D34" s="180">
        <f>B34/National!B34</f>
        <v>3.9589212143758927E-3</v>
      </c>
      <c r="E34" s="51"/>
      <c r="F34" s="163" t="s">
        <v>19</v>
      </c>
      <c r="G34" s="169">
        <v>44719</v>
      </c>
      <c r="H34" s="106">
        <f t="shared" si="3"/>
        <v>4.3897243599811529E-2</v>
      </c>
      <c r="I34" s="113">
        <f>+G34/National!G34</f>
        <v>5.2071761895379999E-3</v>
      </c>
    </row>
    <row r="35" spans="1:9">
      <c r="B35" s="49"/>
      <c r="C35" s="96"/>
      <c r="D35" s="96"/>
      <c r="E35" s="51"/>
      <c r="F35" s="163" t="s">
        <v>20</v>
      </c>
      <c r="G35" s="169">
        <v>0</v>
      </c>
      <c r="H35" s="106">
        <f t="shared" si="3"/>
        <v>0</v>
      </c>
      <c r="I35" s="113">
        <f>+G35/National!G35</f>
        <v>0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141510</v>
      </c>
      <c r="H36" s="106">
        <f t="shared" si="3"/>
        <v>0.13890961206219571</v>
      </c>
      <c r="I36" s="113">
        <f>+G36/National!G36</f>
        <v>8.9446834757102005E-3</v>
      </c>
    </row>
    <row r="37" spans="1:9">
      <c r="A37" s="146" t="s">
        <v>5</v>
      </c>
      <c r="B37" s="149">
        <f>617+375</f>
        <v>992</v>
      </c>
      <c r="C37" s="174">
        <f>B37/B$43</f>
        <v>3.0058784316102056E-2</v>
      </c>
      <c r="D37" s="77">
        <f>B37/National!B37</f>
        <v>4.6444556810307696E-3</v>
      </c>
      <c r="E37" s="51"/>
      <c r="F37" s="163" t="s">
        <v>22</v>
      </c>
      <c r="G37" s="170">
        <v>17357</v>
      </c>
      <c r="H37" s="106">
        <f t="shared" si="3"/>
        <v>1.70380477461913E-2</v>
      </c>
      <c r="I37" s="114">
        <f>+G37/National!G37</f>
        <v>6.7652350407603758E-4</v>
      </c>
    </row>
    <row r="38" spans="1:9">
      <c r="A38" s="146" t="s">
        <v>7</v>
      </c>
      <c r="B38" s="157">
        <f>808+533</f>
        <v>1341</v>
      </c>
      <c r="C38" s="175">
        <f t="shared" ref="C38:C42" si="4">B38/B$43</f>
        <v>4.0633900975698439E-2</v>
      </c>
      <c r="D38" s="78">
        <f>B38/National!B38</f>
        <v>2.8082711018223398E-3</v>
      </c>
      <c r="E38" s="51"/>
      <c r="F38" s="47" t="s">
        <v>1</v>
      </c>
      <c r="G38" s="187">
        <f>SUM(G31:G37)</f>
        <v>1018720</v>
      </c>
      <c r="H38" s="188">
        <f>SUM(H31:H37)</f>
        <v>1</v>
      </c>
      <c r="I38" s="188">
        <f>+G38/National!G39</f>
        <v>5.0612128686504118E-3</v>
      </c>
    </row>
    <row r="39" spans="1:9">
      <c r="A39" s="146" t="s">
        <v>6</v>
      </c>
      <c r="B39" s="157">
        <f>947+1071</f>
        <v>2018</v>
      </c>
      <c r="C39" s="175">
        <f t="shared" si="4"/>
        <v>6.1147809223683416E-2</v>
      </c>
      <c r="D39" s="78">
        <f>B39/National!B39</f>
        <v>3.6512660918968311E-3</v>
      </c>
      <c r="E39" s="51"/>
      <c r="H39" s="87"/>
      <c r="I39" s="87"/>
    </row>
    <row r="40" spans="1:9" ht="23.25">
      <c r="A40" s="146" t="s">
        <v>30</v>
      </c>
      <c r="B40" s="157">
        <f>2197+2290+1011</f>
        <v>5498</v>
      </c>
      <c r="C40" s="175">
        <f t="shared" si="4"/>
        <v>0.16659596388097692</v>
      </c>
      <c r="D40" s="78">
        <f>B40/National!B40</f>
        <v>3.4174667483841932E-3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15774+7127</f>
        <v>22901</v>
      </c>
      <c r="C41" s="175">
        <f t="shared" si="4"/>
        <v>0.69392764074904556</v>
      </c>
      <c r="D41" s="78">
        <f>B41/National!B41</f>
        <v>4.1051488867107251E-3</v>
      </c>
      <c r="E41" s="51"/>
      <c r="F41" s="163" t="s">
        <v>38</v>
      </c>
      <c r="G41" s="168">
        <v>258231</v>
      </c>
      <c r="H41" s="189">
        <f>G41/G$47</f>
        <v>0.29035108924806746</v>
      </c>
      <c r="I41" s="113">
        <f>+G41/National!G42</f>
        <v>2.8474684236900164E-3</v>
      </c>
    </row>
    <row r="42" spans="1:9">
      <c r="A42" s="156" t="s">
        <v>29</v>
      </c>
      <c r="B42" s="150">
        <v>252</v>
      </c>
      <c r="C42" s="175">
        <f t="shared" si="4"/>
        <v>7.6359008544936669E-3</v>
      </c>
      <c r="D42" s="78">
        <f>B42/National!B42</f>
        <v>4.7745358090185673E-3</v>
      </c>
      <c r="E42" s="51"/>
      <c r="F42" s="163" t="s">
        <v>39</v>
      </c>
      <c r="G42" s="169">
        <v>411266</v>
      </c>
      <c r="H42" s="86">
        <f t="shared" ref="H42:H46" si="5">G42/G$47</f>
        <v>0.46242136331693606</v>
      </c>
      <c r="I42" s="113">
        <f>+G42/National!G43</f>
        <v>9.2345331292631432E-3</v>
      </c>
    </row>
    <row r="43" spans="1:9">
      <c r="A43" s="9" t="s">
        <v>1</v>
      </c>
      <c r="B43" s="154">
        <f>SUM(B37:B42)</f>
        <v>33002</v>
      </c>
      <c r="C43" s="178">
        <f>SUM(C37:C42)</f>
        <v>1</v>
      </c>
      <c r="D43" s="179">
        <f>B43/National!B43</f>
        <v>3.8899246331522428E-3</v>
      </c>
      <c r="E43" s="51"/>
      <c r="F43" s="163" t="s">
        <v>40</v>
      </c>
      <c r="G43" s="169">
        <v>82128</v>
      </c>
      <c r="H43" s="86">
        <f t="shared" si="5"/>
        <v>9.2343499648629659E-2</v>
      </c>
      <c r="I43" s="113">
        <f>+G43/National!G44</f>
        <v>6.2688464026532378E-3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97237</v>
      </c>
      <c r="H44" s="86">
        <f t="shared" si="5"/>
        <v>0.10933183415319747</v>
      </c>
      <c r="I44" s="113">
        <f>+G44/National!G45</f>
        <v>6.6046482563095563E-3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17659</v>
      </c>
      <c r="H45" s="86">
        <f t="shared" si="5"/>
        <v>1.9855516514406184E-2</v>
      </c>
      <c r="I45" s="113">
        <f>+G45/National!G46</f>
        <v>2.1227680972922356E-3</v>
      </c>
    </row>
    <row r="46" spans="1:9">
      <c r="A46" s="8" t="s">
        <v>3</v>
      </c>
      <c r="B46" s="52">
        <v>5738</v>
      </c>
      <c r="C46" s="93">
        <f>B46/B$48</f>
        <v>0.44003067484662578</v>
      </c>
      <c r="D46" s="77">
        <f>B46/National!B48</f>
        <v>5.7935134458380203E-3</v>
      </c>
      <c r="E46" s="51"/>
      <c r="F46" s="163" t="s">
        <v>43</v>
      </c>
      <c r="G46" s="170">
        <v>22854</v>
      </c>
      <c r="H46" s="86">
        <f t="shared" si="5"/>
        <v>2.5696697118763177E-2</v>
      </c>
      <c r="I46" s="113">
        <f>+G46/National!G47</f>
        <v>2.8689347243913304E-3</v>
      </c>
    </row>
    <row r="47" spans="1:9">
      <c r="A47" s="8" t="s">
        <v>2</v>
      </c>
      <c r="B47" s="52">
        <v>7302</v>
      </c>
      <c r="C47" s="97">
        <f>B47/B$48</f>
        <v>0.55996932515337428</v>
      </c>
      <c r="D47" s="78">
        <f>B47/National!B49</f>
        <v>3.6821305729288268E-3</v>
      </c>
      <c r="E47" s="51"/>
      <c r="F47" s="9" t="s">
        <v>1</v>
      </c>
      <c r="G47" s="191">
        <f>SUM(G41:G46)</f>
        <v>889375</v>
      </c>
      <c r="H47" s="182">
        <f>SUM(H41:H46)</f>
        <v>1</v>
      </c>
      <c r="I47" s="188">
        <f>+G47/National!G49</f>
        <v>4.9023149631104487E-3</v>
      </c>
    </row>
    <row r="48" spans="1:9">
      <c r="A48" s="9" t="s">
        <v>1</v>
      </c>
      <c r="B48" s="155">
        <f>SUM(B46:B47)</f>
        <v>13040</v>
      </c>
      <c r="C48" s="165">
        <f>SUM(C46:C47)</f>
        <v>1</v>
      </c>
      <c r="D48" s="177">
        <f>B48/National!B50</f>
        <v>4.3853911321606893E-3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135345</v>
      </c>
      <c r="H50" s="189">
        <f>G50/G$52</f>
        <v>0.85288928098809003</v>
      </c>
      <c r="I50" s="113">
        <f>+G50/National!G52</f>
        <v>4.318367904844478E-3</v>
      </c>
    </row>
    <row r="51" spans="1:9">
      <c r="A51" s="146" t="s">
        <v>5</v>
      </c>
      <c r="B51" s="149">
        <f>1235+1557</f>
        <v>2792</v>
      </c>
      <c r="C51" s="174">
        <f>B51/B$57</f>
        <v>0.21411042944785277</v>
      </c>
      <c r="D51" s="77">
        <f>B51/National!B53</f>
        <v>3.8811144581244153E-3</v>
      </c>
      <c r="E51" s="51"/>
      <c r="F51" s="163" t="s">
        <v>97</v>
      </c>
      <c r="G51" s="194">
        <v>23345</v>
      </c>
      <c r="H51" s="86">
        <f>G51/G$52</f>
        <v>0.14711071901191</v>
      </c>
      <c r="I51" s="113">
        <f>+G51/National!G53</f>
        <v>4.6293441124638122E-3</v>
      </c>
    </row>
    <row r="52" spans="1:9">
      <c r="A52" s="146" t="s">
        <v>7</v>
      </c>
      <c r="B52" s="157">
        <f>1402+1287</f>
        <v>2689</v>
      </c>
      <c r="C52" s="175">
        <f t="shared" ref="C52:C56" si="6">B52/B$57</f>
        <v>0.20621165644171779</v>
      </c>
      <c r="D52" s="78">
        <f>B52/National!B54</f>
        <v>3.926309779855067E-3</v>
      </c>
      <c r="E52" s="51"/>
      <c r="F52" s="60" t="s">
        <v>1</v>
      </c>
      <c r="G52" s="190">
        <f>SUM(G50:G51)</f>
        <v>158690</v>
      </c>
      <c r="H52" s="185">
        <f>SUM(H50:H51)</f>
        <v>1</v>
      </c>
      <c r="I52" s="192">
        <f>+G52/National!G54</f>
        <v>4.3614686493296476E-3</v>
      </c>
    </row>
    <row r="53" spans="1:9">
      <c r="A53" s="146" t="s">
        <v>6</v>
      </c>
      <c r="B53" s="157">
        <f>962+1806</f>
        <v>2768</v>
      </c>
      <c r="C53" s="175">
        <f t="shared" si="6"/>
        <v>0.21226993865030674</v>
      </c>
      <c r="D53" s="78">
        <f>B53/National!B55</f>
        <v>5.2324350482412362E-3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1148+593+915</f>
        <v>2656</v>
      </c>
      <c r="C54" s="175">
        <f t="shared" si="6"/>
        <v>0.20368098159509201</v>
      </c>
      <c r="D54" s="78">
        <f>B54/National!B56</f>
        <v>6.3762312536160383E-3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398+720</f>
        <v>1118</v>
      </c>
      <c r="C55" s="175">
        <f t="shared" si="6"/>
        <v>8.573619631901841E-2</v>
      </c>
      <c r="D55" s="78">
        <f>B55/National!B57</f>
        <v>2.787459920913928E-3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1017</v>
      </c>
      <c r="C56" s="175">
        <f t="shared" si="6"/>
        <v>7.7990797546012264E-2</v>
      </c>
      <c r="D56" s="78">
        <f>B56/National!B58</f>
        <v>4.5682406209573093E-3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13040</v>
      </c>
      <c r="C57" s="178">
        <f>SUM(C51:C56)</f>
        <v>0.99999999999999989</v>
      </c>
      <c r="D57" s="177">
        <f>B57/National!B59</f>
        <v>4.3853911321606893E-3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70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8682661</v>
      </c>
      <c r="C4" s="99"/>
      <c r="D4" s="77">
        <f>B4/National!B4</f>
        <v>2.8555774785877265E-2</v>
      </c>
      <c r="E4" s="1"/>
      <c r="F4" s="146" t="s">
        <v>10</v>
      </c>
      <c r="G4" s="195">
        <v>2848602</v>
      </c>
      <c r="H4" s="189">
        <f>G4/G$6</f>
        <v>0.49265403642759492</v>
      </c>
      <c r="I4" s="112">
        <f>+G4/National!G4</f>
        <v>2.7491338825330641E-2</v>
      </c>
    </row>
    <row r="5" spans="1:9">
      <c r="A5" s="8" t="s">
        <v>167</v>
      </c>
      <c r="B5" s="50">
        <f>3616+3801</f>
        <v>7417</v>
      </c>
      <c r="C5" s="100"/>
      <c r="D5" s="79">
        <f>B5/National!B5</f>
        <v>2.0967134151495389E-3</v>
      </c>
      <c r="E5" s="1"/>
      <c r="F5" s="146" t="s">
        <v>11</v>
      </c>
      <c r="G5" s="196">
        <v>2933553</v>
      </c>
      <c r="H5" s="86">
        <f>G5/G$6</f>
        <v>0.50734596357240513</v>
      </c>
      <c r="I5" s="113">
        <f>+G5/National!G5</f>
        <v>2.8018000612192041E-2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5782155</v>
      </c>
      <c r="H6" s="182">
        <f>SUM(H4:H5)</f>
        <v>1</v>
      </c>
      <c r="I6" s="183">
        <f>+G6/National!G6</f>
        <v>2.7756040315955119E-2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4280962</v>
      </c>
      <c r="C8" s="174">
        <f>B8/B10</f>
        <v>0.82553993703008555</v>
      </c>
      <c r="D8" s="77">
        <f>B8/National!B8</f>
        <v>3.1337994085726475E-2</v>
      </c>
      <c r="E8" s="1"/>
      <c r="F8" s="146" t="s">
        <v>32</v>
      </c>
      <c r="G8" s="206">
        <f>10.5/100</f>
        <v>0.105</v>
      </c>
      <c r="H8" s="87"/>
      <c r="I8" s="87"/>
    </row>
    <row r="9" spans="1:9">
      <c r="A9" s="146" t="s">
        <v>169</v>
      </c>
      <c r="B9" s="150">
        <v>904689</v>
      </c>
      <c r="C9" s="175">
        <f>B9/B10</f>
        <v>0.17446006296991448</v>
      </c>
      <c r="D9" s="78">
        <f>B9/National!B9</f>
        <v>2.3461597938632252E-2</v>
      </c>
      <c r="E9" s="1"/>
      <c r="F9" s="146" t="s">
        <v>31</v>
      </c>
      <c r="G9" s="207">
        <f>13.5/100</f>
        <v>0.13500000000000001</v>
      </c>
      <c r="H9" s="87"/>
      <c r="I9" s="87"/>
    </row>
    <row r="10" spans="1:9">
      <c r="A10" s="9" t="s">
        <v>9</v>
      </c>
      <c r="B10" s="152">
        <f>SUM(B8:B9)</f>
        <v>5185651</v>
      </c>
      <c r="C10" s="176">
        <f>SUM(C8:C9)</f>
        <v>1</v>
      </c>
      <c r="D10" s="165"/>
      <c r="E10" s="1"/>
      <c r="F10" s="146" t="s">
        <v>33</v>
      </c>
      <c r="G10" s="205">
        <f>10.5/100</f>
        <v>0.105</v>
      </c>
      <c r="H10" s="87"/>
      <c r="I10" s="87"/>
    </row>
    <row r="11" spans="1:9">
      <c r="A11" s="146" t="s">
        <v>170</v>
      </c>
      <c r="B11" s="149">
        <v>84787</v>
      </c>
      <c r="C11" s="93">
        <f>B11/(B12+B11)</f>
        <v>1.980559047111596E-2</v>
      </c>
      <c r="D11" s="77">
        <f>B11/National!B11</f>
        <v>2.2481595674386883E-2</v>
      </c>
      <c r="E11" s="1"/>
      <c r="G11" s="49"/>
      <c r="H11" s="87"/>
      <c r="I11" s="86"/>
    </row>
    <row r="12" spans="1:9" ht="23.25">
      <c r="A12" s="146" t="s">
        <v>171</v>
      </c>
      <c r="B12" s="150">
        <v>4196176</v>
      </c>
      <c r="C12" s="95">
        <f>B12/(B11+B12)</f>
        <v>0.98019440952888404</v>
      </c>
      <c r="D12" s="79">
        <f>B12/National!B12</f>
        <v>3.1739946434354932E-2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3826995</v>
      </c>
      <c r="H13" s="189">
        <f>G13/G$18</f>
        <v>0.59700613589574669</v>
      </c>
      <c r="I13" s="92">
        <f>+G13/National!G13</f>
        <v>2.7917999585103114E-2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2396600</v>
      </c>
      <c r="H14" s="86">
        <f>G14/G$18</f>
        <v>0.37386641615360006</v>
      </c>
      <c r="I14" s="106">
        <f>+G14/National!G14</f>
        <v>2.1739527389060535E-2</v>
      </c>
    </row>
    <row r="15" spans="1:9">
      <c r="A15" s="146" t="s">
        <v>3</v>
      </c>
      <c r="B15" s="149">
        <v>7298</v>
      </c>
      <c r="C15" s="174">
        <f>B15/B$17</f>
        <v>0.18832090418806285</v>
      </c>
      <c r="D15" s="77">
        <f>B15/National!B15</f>
        <v>2.4512734664594044E-3</v>
      </c>
      <c r="E15" s="3"/>
      <c r="F15" s="146" t="s">
        <v>13</v>
      </c>
      <c r="G15" s="150">
        <v>23287</v>
      </c>
      <c r="H15" s="86">
        <f>G15/G$18</f>
        <v>3.6327410635771024E-3</v>
      </c>
      <c r="I15" s="106">
        <f>+G15/National!G15</f>
        <v>2.7613872985907877E-2</v>
      </c>
    </row>
    <row r="16" spans="1:9">
      <c r="A16" s="146" t="s">
        <v>2</v>
      </c>
      <c r="B16" s="150">
        <v>31455</v>
      </c>
      <c r="C16" s="175">
        <f>B16/B$17</f>
        <v>0.81167909581193709</v>
      </c>
      <c r="D16" s="78">
        <f>B16/National!B16</f>
        <v>2.9520243256940144E-2</v>
      </c>
      <c r="E16" s="1"/>
      <c r="F16" s="9" t="s">
        <v>1</v>
      </c>
      <c r="G16" s="162">
        <v>6246882</v>
      </c>
      <c r="H16" s="105"/>
      <c r="I16" s="106"/>
    </row>
    <row r="17" spans="1:9">
      <c r="A17" s="9" t="s">
        <v>1</v>
      </c>
      <c r="B17" s="154">
        <f>SUM(B15:B16)</f>
        <v>38753</v>
      </c>
      <c r="C17" s="176">
        <f>SUM(C15:C16)</f>
        <v>1</v>
      </c>
      <c r="D17" s="177">
        <f>B17/National!B17</f>
        <v>9.5857590640867837E-3</v>
      </c>
      <c r="E17" s="1"/>
      <c r="F17" s="108" t="s">
        <v>35</v>
      </c>
      <c r="G17" s="117">
        <v>163429</v>
      </c>
      <c r="H17" s="105">
        <f>G17/G$18</f>
        <v>2.5494706887076151E-2</v>
      </c>
      <c r="I17" s="106">
        <f>+G17/National!G17</f>
        <v>2.1206742807077281E-2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6410311</v>
      </c>
      <c r="H18" s="185">
        <f>SUM(H13:H17)</f>
        <v>1</v>
      </c>
      <c r="I18" s="186">
        <f>+G18/National!G18</f>
        <v>2.5052881879219842E-2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65+366</f>
        <v>431</v>
      </c>
      <c r="C20" s="174">
        <f>B20/B$26</f>
        <v>1.1121719608804479E-2</v>
      </c>
      <c r="D20" s="77">
        <f>B20/National!B20</f>
        <v>9.2190541378794032E-3</v>
      </c>
      <c r="E20" s="51"/>
      <c r="F20" s="163" t="s">
        <v>3</v>
      </c>
      <c r="G20" s="108">
        <f>53+19</f>
        <v>72</v>
      </c>
      <c r="H20" s="189">
        <f>G20/G$23</f>
        <v>0.12203389830508475</v>
      </c>
      <c r="I20" s="92">
        <f>+G20/National!G20</f>
        <v>3.4603739126255586E-3</v>
      </c>
    </row>
    <row r="21" spans="1:9">
      <c r="A21" s="146" t="s">
        <v>7</v>
      </c>
      <c r="B21" s="157">
        <f>254+1705</f>
        <v>1959</v>
      </c>
      <c r="C21" s="175">
        <f t="shared" ref="C21:C25" si="0">B21/B$26</f>
        <v>5.0550925089670476E-2</v>
      </c>
      <c r="D21" s="78">
        <f>B21/National!B21</f>
        <v>1.2281669655059998E-2</v>
      </c>
      <c r="E21" s="51"/>
      <c r="F21" s="163" t="s">
        <v>2</v>
      </c>
      <c r="G21" s="198">
        <f>435+80</f>
        <v>515</v>
      </c>
      <c r="H21" s="86">
        <f t="shared" ref="H21:H22" si="1">G21/G$23</f>
        <v>0.8728813559322034</v>
      </c>
      <c r="I21" s="106">
        <f>+G21/National!G21</f>
        <v>3.2276259714214085E-2</v>
      </c>
    </row>
    <row r="22" spans="1:9">
      <c r="A22" s="146" t="s">
        <v>6</v>
      </c>
      <c r="B22" s="157">
        <f>313+3487</f>
        <v>3800</v>
      </c>
      <c r="C22" s="175">
        <f t="shared" si="0"/>
        <v>9.8056924625190306E-2</v>
      </c>
      <c r="D22" s="78">
        <f>B22/National!B22</f>
        <v>1.5754887124525798E-2</v>
      </c>
      <c r="E22" s="51"/>
      <c r="F22" s="163" t="s">
        <v>28</v>
      </c>
      <c r="G22" s="181">
        <v>3</v>
      </c>
      <c r="H22" s="86">
        <f t="shared" si="1"/>
        <v>5.084745762711864E-3</v>
      </c>
      <c r="I22" s="106">
        <f>+G22/National!G22</f>
        <v>6.024096385542169E-3</v>
      </c>
    </row>
    <row r="23" spans="1:9">
      <c r="A23" s="146" t="s">
        <v>30</v>
      </c>
      <c r="B23" s="157">
        <f>966+424+2762</f>
        <v>4152</v>
      </c>
      <c r="C23" s="175">
        <f t="shared" si="0"/>
        <v>0.10714009237994478</v>
      </c>
      <c r="D23" s="78">
        <f>B23/National!B23</f>
        <v>5.2246985291064278E-3</v>
      </c>
      <c r="E23" s="51"/>
      <c r="F23" s="9" t="s">
        <v>1</v>
      </c>
      <c r="G23" s="197">
        <f>SUM(G20:G22)</f>
        <v>590</v>
      </c>
      <c r="H23" s="132">
        <f>SUM(H20:H22)</f>
        <v>1</v>
      </c>
      <c r="I23" s="133">
        <f>+G23/National!G23</f>
        <v>1.5834250288505408E-2</v>
      </c>
    </row>
    <row r="24" spans="1:9">
      <c r="A24" s="146" t="s">
        <v>8</v>
      </c>
      <c r="B24" s="157">
        <f>5275+22732</f>
        <v>28007</v>
      </c>
      <c r="C24" s="175">
        <f t="shared" si="0"/>
        <v>0.72270533894150135</v>
      </c>
      <c r="D24" s="78">
        <f>B24/National!B24</f>
        <v>1.0040856070188118E-2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404</v>
      </c>
      <c r="C25" s="175">
        <f t="shared" si="0"/>
        <v>1.0424999354888654E-2</v>
      </c>
      <c r="D25" s="78">
        <f>B25/National!B25</f>
        <v>3.5641817379797089E-2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38753</v>
      </c>
      <c r="C26" s="176">
        <f>SUM(C20:C25)</f>
        <v>1</v>
      </c>
      <c r="D26" s="177">
        <f>B26/National!B26</f>
        <v>9.5857353532645129E-3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3854305</v>
      </c>
      <c r="H27" s="87"/>
      <c r="I27" s="113">
        <f>+G27/National!G27</f>
        <v>2.7913727942440451E-2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3920547</v>
      </c>
      <c r="H28" s="87"/>
      <c r="I28" s="114">
        <f>+G28/National!G28</f>
        <v>2.9482083643108951E-2</v>
      </c>
    </row>
    <row r="29" spans="1:9">
      <c r="A29" s="146" t="s">
        <v>91</v>
      </c>
      <c r="B29" s="149">
        <f>455+1869</f>
        <v>2324</v>
      </c>
      <c r="C29" s="174">
        <f>B29/B$34</f>
        <v>5.9969550744458491E-2</v>
      </c>
      <c r="D29" s="77">
        <f>B29/National!B29</f>
        <v>2.9805074301074855E-3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1987+4457</f>
        <v>6444</v>
      </c>
      <c r="C30" s="175">
        <f t="shared" ref="C30:C33" si="2">B30/B$34</f>
        <v>0.16628390060124376</v>
      </c>
      <c r="D30" s="78">
        <f>B30/National!B30</f>
        <v>3.6039341269743621E-3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3849+24606</f>
        <v>28455</v>
      </c>
      <c r="C31" s="175">
        <f t="shared" si="2"/>
        <v>0.73426573426573427</v>
      </c>
      <c r="D31" s="78">
        <f>B31/National!B31</f>
        <v>2.2119181617487018E-2</v>
      </c>
      <c r="E31" s="51"/>
      <c r="F31" s="163" t="s">
        <v>16</v>
      </c>
      <c r="G31" s="168">
        <v>1753173</v>
      </c>
      <c r="H31" s="92">
        <f>G31/G$38</f>
        <v>0.31841293082984606</v>
      </c>
      <c r="I31" s="112">
        <f>+G31/National!G31</f>
        <v>4.150324846279136E-2</v>
      </c>
    </row>
    <row r="32" spans="1:9">
      <c r="A32" s="146" t="s">
        <v>94</v>
      </c>
      <c r="B32" s="157">
        <f>585+423</f>
        <v>1008</v>
      </c>
      <c r="C32" s="175">
        <f t="shared" si="2"/>
        <v>2.6010889479524166E-2</v>
      </c>
      <c r="D32" s="78">
        <f>B32/National!B32</f>
        <v>1.7678937860638056E-2</v>
      </c>
      <c r="E32" s="51"/>
      <c r="F32" s="163" t="s">
        <v>17</v>
      </c>
      <c r="G32" s="169">
        <v>1809456</v>
      </c>
      <c r="H32" s="106">
        <f t="shared" ref="H32:H37" si="3">G32/G$38</f>
        <v>0.32863510227892506</v>
      </c>
      <c r="I32" s="113">
        <f>+G32/National!G32</f>
        <v>2.9085213163308674E-2</v>
      </c>
    </row>
    <row r="33" spans="1:9">
      <c r="A33" s="146" t="s">
        <v>95</v>
      </c>
      <c r="B33" s="150">
        <f>422+100</f>
        <v>522</v>
      </c>
      <c r="C33" s="175">
        <f t="shared" si="2"/>
        <v>1.34699249090393E-2</v>
      </c>
      <c r="D33" s="78">
        <f>B33/National!B33</f>
        <v>3.9686160021895813E-3</v>
      </c>
      <c r="E33" s="51"/>
      <c r="F33" s="163" t="s">
        <v>18</v>
      </c>
      <c r="G33" s="169">
        <v>1367264</v>
      </c>
      <c r="H33" s="106">
        <f t="shared" si="3"/>
        <v>0.24832377492588503</v>
      </c>
      <c r="I33" s="113">
        <f>+G33/National!G33</f>
        <v>4.3039944783519246E-2</v>
      </c>
    </row>
    <row r="34" spans="1:9">
      <c r="A34" s="9" t="s">
        <v>1</v>
      </c>
      <c r="B34" s="154">
        <f>SUM(B29:B33)</f>
        <v>38753</v>
      </c>
      <c r="C34" s="176">
        <f>SUM(C29:C33)</f>
        <v>1</v>
      </c>
      <c r="D34" s="180">
        <f>B34/National!B34</f>
        <v>9.5857590640867837E-3</v>
      </c>
      <c r="E34" s="51"/>
      <c r="F34" s="163" t="s">
        <v>19</v>
      </c>
      <c r="G34" s="169">
        <v>0</v>
      </c>
      <c r="H34" s="106">
        <f t="shared" si="3"/>
        <v>0</v>
      </c>
      <c r="I34" s="113">
        <f>+G34/National!G34</f>
        <v>0</v>
      </c>
    </row>
    <row r="35" spans="1:9">
      <c r="B35" s="49"/>
      <c r="C35" s="96"/>
      <c r="D35" s="96"/>
      <c r="E35" s="51"/>
      <c r="F35" s="163" t="s">
        <v>20</v>
      </c>
      <c r="G35" s="169">
        <v>0</v>
      </c>
      <c r="H35" s="106">
        <f t="shared" si="3"/>
        <v>0</v>
      </c>
      <c r="I35" s="113">
        <f>+G35/National!G35</f>
        <v>0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231364</v>
      </c>
      <c r="H36" s="106">
        <f t="shared" si="3"/>
        <v>4.2020547503592916E-2</v>
      </c>
      <c r="I36" s="113">
        <f>+G36/National!G36</f>
        <v>1.4624250919894105E-2</v>
      </c>
    </row>
    <row r="37" spans="1:9">
      <c r="A37" s="146" t="s">
        <v>5</v>
      </c>
      <c r="B37" s="149">
        <f>354+2508</f>
        <v>2862</v>
      </c>
      <c r="C37" s="174">
        <f>B37/B$43</f>
        <v>3.3957831539730185E-2</v>
      </c>
      <c r="D37" s="77">
        <f>B37/National!B37</f>
        <v>1.3399629192651273E-2</v>
      </c>
      <c r="E37" s="51"/>
      <c r="F37" s="163" t="s">
        <v>22</v>
      </c>
      <c r="G37" s="170">
        <v>344716</v>
      </c>
      <c r="H37" s="106">
        <f t="shared" si="3"/>
        <v>6.2607644461750905E-2</v>
      </c>
      <c r="I37" s="114">
        <f>+G37/National!G37</f>
        <v>1.3435989873311941E-2</v>
      </c>
    </row>
    <row r="38" spans="1:9">
      <c r="A38" s="146" t="s">
        <v>7</v>
      </c>
      <c r="B38" s="157">
        <f>689+5721</f>
        <v>6410</v>
      </c>
      <c r="C38" s="175">
        <f t="shared" ref="C38:C42" si="4">B38/B$43</f>
        <v>7.605510138702673E-2</v>
      </c>
      <c r="D38" s="78">
        <f>B38/National!B38</f>
        <v>1.3423577749948692E-2</v>
      </c>
      <c r="E38" s="51"/>
      <c r="F38" s="47" t="s">
        <v>1</v>
      </c>
      <c r="G38" s="187">
        <f>SUM(G31:G37)</f>
        <v>5505973</v>
      </c>
      <c r="H38" s="188">
        <f>SUM(H31:H37)</f>
        <v>1</v>
      </c>
      <c r="I38" s="188">
        <f>+G38/National!G39</f>
        <v>2.7354819186863628E-2</v>
      </c>
    </row>
    <row r="39" spans="1:9">
      <c r="A39" s="146" t="s">
        <v>6</v>
      </c>
      <c r="B39" s="157">
        <f>664+7732</f>
        <v>8396</v>
      </c>
      <c r="C39" s="175">
        <f t="shared" si="4"/>
        <v>9.9619131239543912E-2</v>
      </c>
      <c r="D39" s="78">
        <f>B39/National!B39</f>
        <v>1.5191293413065309E-2</v>
      </c>
      <c r="E39" s="51"/>
      <c r="H39" s="87"/>
      <c r="I39" s="87"/>
    </row>
    <row r="40" spans="1:9" ht="23.25">
      <c r="A40" s="146" t="s">
        <v>30</v>
      </c>
      <c r="B40" s="157">
        <f>1946+849+5624</f>
        <v>8419</v>
      </c>
      <c r="C40" s="175">
        <f t="shared" si="4"/>
        <v>9.9892027859185342E-2</v>
      </c>
      <c r="D40" s="78">
        <f>B40/National!B40</f>
        <v>5.2331125053922383E-3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10550+45464</f>
        <v>56014</v>
      </c>
      <c r="C41" s="175">
        <f t="shared" si="4"/>
        <v>0.66461005446067323</v>
      </c>
      <c r="D41" s="78">
        <f>B41/National!B41</f>
        <v>1.0040863269735583E-2</v>
      </c>
      <c r="E41" s="51"/>
      <c r="F41" s="163" t="s">
        <v>38</v>
      </c>
      <c r="G41" s="168">
        <v>2309883</v>
      </c>
      <c r="H41" s="189">
        <f>G41/G$47</f>
        <v>0.42557762652732073</v>
      </c>
      <c r="I41" s="113">
        <f>+G41/National!G42</f>
        <v>2.5470678984778613E-2</v>
      </c>
    </row>
    <row r="42" spans="1:9">
      <c r="A42" s="156" t="s">
        <v>29</v>
      </c>
      <c r="B42" s="150">
        <v>2180</v>
      </c>
      <c r="C42" s="175">
        <f t="shared" si="4"/>
        <v>2.5865853513840603E-2</v>
      </c>
      <c r="D42" s="78">
        <f>B42/National!B42</f>
        <v>4.1303524062144749E-2</v>
      </c>
      <c r="E42" s="51"/>
      <c r="F42" s="163" t="s">
        <v>39</v>
      </c>
      <c r="G42" s="169">
        <v>926309</v>
      </c>
      <c r="H42" s="86">
        <f t="shared" ref="H42:H46" si="5">G42/G$47</f>
        <v>0.17066508808060665</v>
      </c>
      <c r="I42" s="113">
        <f>+G42/National!G43</f>
        <v>2.0799266529289106E-2</v>
      </c>
    </row>
    <row r="43" spans="1:9">
      <c r="A43" s="9" t="s">
        <v>1</v>
      </c>
      <c r="B43" s="154">
        <f>SUM(B37:B42)</f>
        <v>84281</v>
      </c>
      <c r="C43" s="178">
        <f>SUM(C37:C42)</f>
        <v>1</v>
      </c>
      <c r="D43" s="179">
        <f>B43/National!B43</f>
        <v>9.9341475670172777E-3</v>
      </c>
      <c r="E43" s="51"/>
      <c r="F43" s="163" t="s">
        <v>40</v>
      </c>
      <c r="G43" s="169">
        <v>238785</v>
      </c>
      <c r="H43" s="86">
        <f t="shared" si="5"/>
        <v>4.3994242803781086E-2</v>
      </c>
      <c r="I43" s="113">
        <f>+G43/National!G44</f>
        <v>1.8226506042489203E-2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942934</v>
      </c>
      <c r="H44" s="86">
        <f t="shared" si="5"/>
        <v>0.17372811250263007</v>
      </c>
      <c r="I44" s="113">
        <f>+G44/National!G45</f>
        <v>6.4047095230364934E-2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628299</v>
      </c>
      <c r="H45" s="86">
        <f t="shared" si="5"/>
        <v>0.1157591086516023</v>
      </c>
      <c r="I45" s="113">
        <f>+G45/National!G46</f>
        <v>7.5527100784903697E-2</v>
      </c>
    </row>
    <row r="46" spans="1:9">
      <c r="A46" s="8" t="s">
        <v>3</v>
      </c>
      <c r="B46" s="52">
        <v>6297</v>
      </c>
      <c r="C46" s="93">
        <f>B46/B$48</f>
        <v>8.5523367151529972E-2</v>
      </c>
      <c r="D46" s="77">
        <f>B46/National!B48</f>
        <v>6.3579216048173601E-3</v>
      </c>
      <c r="E46" s="51"/>
      <c r="F46" s="163" t="s">
        <v>43</v>
      </c>
      <c r="G46" s="170">
        <v>381432</v>
      </c>
      <c r="H46" s="86">
        <f t="shared" si="5"/>
        <v>7.0275821434059207E-2</v>
      </c>
      <c r="I46" s="113">
        <f>+G46/National!G47</f>
        <v>4.7882362378316008E-2</v>
      </c>
    </row>
    <row r="47" spans="1:9">
      <c r="A47" s="8" t="s">
        <v>2</v>
      </c>
      <c r="B47" s="52">
        <v>67332</v>
      </c>
      <c r="C47" s="97">
        <f>B47/B$48</f>
        <v>0.91447663284847003</v>
      </c>
      <c r="D47" s="78">
        <f>B47/National!B49</f>
        <v>3.3953056112906568E-2</v>
      </c>
      <c r="E47" s="51"/>
      <c r="F47" s="9" t="s">
        <v>1</v>
      </c>
      <c r="G47" s="191">
        <f>SUM(G41:G46)</f>
        <v>5427642</v>
      </c>
      <c r="H47" s="182">
        <f>SUM(H41:H46)</f>
        <v>1.0000000000000002</v>
      </c>
      <c r="I47" s="188">
        <f>+G47/National!G49</f>
        <v>2.9917650699656188E-2</v>
      </c>
    </row>
    <row r="48" spans="1:9">
      <c r="A48" s="9" t="s">
        <v>1</v>
      </c>
      <c r="B48" s="155">
        <f>SUM(B46:B47)</f>
        <v>73629</v>
      </c>
      <c r="C48" s="165">
        <f>SUM(C46:C47)</f>
        <v>1</v>
      </c>
      <c r="D48" s="177">
        <f>B48/National!B50</f>
        <v>2.4761653655664066E-2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910174</v>
      </c>
      <c r="H50" s="189">
        <f>G50/G$52</f>
        <v>0.85792871504019708</v>
      </c>
      <c r="I50" s="113">
        <f>+G50/National!G52</f>
        <v>2.9040350137972723E-2</v>
      </c>
    </row>
    <row r="51" spans="1:9">
      <c r="A51" s="146" t="s">
        <v>5</v>
      </c>
      <c r="B51" s="149">
        <f>1609+13691</f>
        <v>15300</v>
      </c>
      <c r="C51" s="174">
        <f>B51/B$57</f>
        <v>0.20779855763354113</v>
      </c>
      <c r="D51" s="77">
        <f>B51/National!B53</f>
        <v>2.12682848170858E-2</v>
      </c>
      <c r="E51" s="51"/>
      <c r="F51" s="163" t="s">
        <v>97</v>
      </c>
      <c r="G51" s="194">
        <v>150723</v>
      </c>
      <c r="H51" s="86">
        <f>G51/G$52</f>
        <v>0.1420712849598029</v>
      </c>
      <c r="I51" s="113">
        <f>+G51/National!G53</f>
        <v>2.9888568544137212E-2</v>
      </c>
    </row>
    <row r="52" spans="1:9">
      <c r="A52" s="146" t="s">
        <v>7</v>
      </c>
      <c r="B52" s="157">
        <f>1872+16478</f>
        <v>18350</v>
      </c>
      <c r="C52" s="175">
        <f t="shared" ref="C52:C56" si="6">B52/B$57</f>
        <v>0.24922245310950847</v>
      </c>
      <c r="D52" s="78">
        <f>B52/National!B54</f>
        <v>2.6793523414035132E-2</v>
      </c>
      <c r="E52" s="51"/>
      <c r="F52" s="60" t="s">
        <v>1</v>
      </c>
      <c r="G52" s="190">
        <f>SUM(G50:G51)</f>
        <v>1060897</v>
      </c>
      <c r="H52" s="185">
        <f>SUM(H50:H51)</f>
        <v>1</v>
      </c>
      <c r="I52" s="192">
        <f>+G52/National!G54</f>
        <v>2.9157911687364518E-2</v>
      </c>
    </row>
    <row r="53" spans="1:9">
      <c r="A53" s="146" t="s">
        <v>6</v>
      </c>
      <c r="B53" s="157">
        <f>698+10959</f>
        <v>11657</v>
      </c>
      <c r="C53" s="175">
        <f t="shared" si="6"/>
        <v>0.15832077034863981</v>
      </c>
      <c r="D53" s="78">
        <f>B53/National!B55</f>
        <v>2.2035583582856968E-2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1189+325+5001</f>
        <v>6515</v>
      </c>
      <c r="C54" s="175">
        <f t="shared" si="6"/>
        <v>8.8484157057681076E-2</v>
      </c>
      <c r="D54" s="78">
        <f>B54/National!B56</f>
        <v>1.5640491949287835E-2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604+9564</f>
        <v>10168</v>
      </c>
      <c r="C55" s="175">
        <f t="shared" si="6"/>
        <v>0.13809776039332328</v>
      </c>
      <c r="D55" s="78">
        <f>B55/National!B57</f>
        <v>2.5351424397006099E-2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11639</v>
      </c>
      <c r="C56" s="175">
        <f t="shared" si="6"/>
        <v>0.15807630145730622</v>
      </c>
      <c r="D56" s="78">
        <f>B56/National!B58</f>
        <v>5.2280975995400318E-2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73629</v>
      </c>
      <c r="C57" s="178">
        <f>SUM(C51:C56)</f>
        <v>0.99999999999999989</v>
      </c>
      <c r="D57" s="177">
        <f>B57/National!B59</f>
        <v>2.4761653655664066E-2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71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1984356</v>
      </c>
      <c r="C4" s="99"/>
      <c r="D4" s="77">
        <f>B4/National!B4</f>
        <v>6.5262047004949596E-3</v>
      </c>
      <c r="E4" s="1"/>
      <c r="F4" s="146" t="s">
        <v>10</v>
      </c>
      <c r="G4" s="195">
        <v>676523</v>
      </c>
      <c r="H4" s="189">
        <f>G4/G$6</f>
        <v>0.49553085188123192</v>
      </c>
      <c r="I4" s="112">
        <f>+G4/National!G4</f>
        <v>6.5290001959309027E-3</v>
      </c>
    </row>
    <row r="5" spans="1:9">
      <c r="A5" s="8" t="s">
        <v>167</v>
      </c>
      <c r="B5" s="50">
        <f>120622+734</f>
        <v>121356</v>
      </c>
      <c r="C5" s="100"/>
      <c r="D5" s="79">
        <f>B5/National!B5</f>
        <v>3.4306155212200005E-2</v>
      </c>
      <c r="E5" s="1"/>
      <c r="F5" s="146" t="s">
        <v>11</v>
      </c>
      <c r="G5" s="196">
        <v>688726</v>
      </c>
      <c r="H5" s="86">
        <f>G5/G$6</f>
        <v>0.50446914811876808</v>
      </c>
      <c r="I5" s="113">
        <f>+G5/National!G5</f>
        <v>6.5779365464447301E-3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1365249</v>
      </c>
      <c r="H6" s="182">
        <f>SUM(H4:H5)</f>
        <v>1</v>
      </c>
      <c r="I6" s="183">
        <f>+G6/National!G6</f>
        <v>6.5535957243134102E-3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926188</v>
      </c>
      <c r="C8" s="174">
        <f>B8/B10</f>
        <v>0.66142206873108433</v>
      </c>
      <c r="D8" s="77">
        <f>B8/National!B8</f>
        <v>6.7799887189540185E-3</v>
      </c>
      <c r="E8" s="1"/>
      <c r="F8" s="146" t="s">
        <v>32</v>
      </c>
      <c r="G8" s="206">
        <f>18.875/100</f>
        <v>0.18875</v>
      </c>
      <c r="H8" s="87"/>
      <c r="I8" s="87"/>
    </row>
    <row r="9" spans="1:9">
      <c r="A9" s="146" t="s">
        <v>169</v>
      </c>
      <c r="B9" s="150">
        <v>474110</v>
      </c>
      <c r="C9" s="175">
        <f>B9/B10</f>
        <v>0.33857793126891561</v>
      </c>
      <c r="D9" s="78">
        <f>B9/National!B9</f>
        <v>1.2295250852707324E-2</v>
      </c>
      <c r="E9" s="1"/>
      <c r="F9" s="146" t="s">
        <v>31</v>
      </c>
      <c r="G9" s="207">
        <f>22.88/100</f>
        <v>0.2288</v>
      </c>
      <c r="H9" s="87"/>
      <c r="I9" s="87"/>
    </row>
    <row r="10" spans="1:9">
      <c r="A10" s="9" t="s">
        <v>9</v>
      </c>
      <c r="B10" s="152">
        <f>SUM(B8:B9)</f>
        <v>1400298</v>
      </c>
      <c r="C10" s="176">
        <f>SUM(C8:C9)</f>
        <v>1</v>
      </c>
      <c r="D10" s="165"/>
      <c r="E10" s="1"/>
      <c r="F10" s="146" t="s">
        <v>33</v>
      </c>
      <c r="G10" s="205">
        <f>18.88/100</f>
        <v>0.1888</v>
      </c>
      <c r="H10" s="87"/>
      <c r="I10" s="87"/>
    </row>
    <row r="11" spans="1:9">
      <c r="A11" s="146" t="s">
        <v>170</v>
      </c>
      <c r="B11" s="149">
        <v>29482</v>
      </c>
      <c r="C11" s="93">
        <f>B11/(B12+B11)</f>
        <v>3.2062310635308344E-2</v>
      </c>
      <c r="D11" s="77">
        <f>B11/National!B11</f>
        <v>7.8172644824356808E-3</v>
      </c>
      <c r="E11" s="1"/>
      <c r="G11" s="49"/>
      <c r="H11" s="87"/>
      <c r="I11" s="86"/>
    </row>
    <row r="12" spans="1:9" ht="23.25">
      <c r="A12" s="146" t="s">
        <v>171</v>
      </c>
      <c r="B12" s="150">
        <v>890040</v>
      </c>
      <c r="C12" s="95">
        <f>B12/(B11+B12)</f>
        <v>0.9679376893646916</v>
      </c>
      <c r="D12" s="79">
        <f>B12/National!B12</f>
        <v>6.7322776557592586E-3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692415</v>
      </c>
      <c r="H13" s="189">
        <f>G13/G$18</f>
        <v>0.42830155883792009</v>
      </c>
      <c r="I13" s="92">
        <f>+G13/National!G13</f>
        <v>5.0511802818449395E-3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873868</v>
      </c>
      <c r="H14" s="86">
        <f>G14/G$18</f>
        <v>0.54054147674238073</v>
      </c>
      <c r="I14" s="106">
        <f>+G14/National!G14</f>
        <v>7.9268452476105953E-3</v>
      </c>
    </row>
    <row r="15" spans="1:9">
      <c r="A15" s="146" t="s">
        <v>3</v>
      </c>
      <c r="B15" s="149">
        <v>60386</v>
      </c>
      <c r="C15" s="174">
        <f>B15/B$17</f>
        <v>0.88304281703322418</v>
      </c>
      <c r="D15" s="77">
        <f>B15/National!B15</f>
        <v>2.0282625314554343E-2</v>
      </c>
      <c r="E15" s="3"/>
      <c r="F15" s="146" t="s">
        <v>13</v>
      </c>
      <c r="G15" s="150">
        <v>3488</v>
      </c>
      <c r="H15" s="86">
        <f>G15/G$18</f>
        <v>2.1575440122277322E-3</v>
      </c>
      <c r="I15" s="106">
        <f>+G15/National!G15</f>
        <v>4.1360926257073332E-3</v>
      </c>
    </row>
    <row r="16" spans="1:9">
      <c r="A16" s="146" t="s">
        <v>2</v>
      </c>
      <c r="B16" s="150">
        <v>7998</v>
      </c>
      <c r="C16" s="175">
        <f>B16/B$17</f>
        <v>0.11695718296677586</v>
      </c>
      <c r="D16" s="78">
        <f>B16/National!B16</f>
        <v>7.5060532687651329E-3</v>
      </c>
      <c r="E16" s="1"/>
      <c r="F16" s="9" t="s">
        <v>1</v>
      </c>
      <c r="G16" s="162">
        <v>1569771</v>
      </c>
      <c r="H16" s="105"/>
      <c r="I16" s="106"/>
    </row>
    <row r="17" spans="1:9">
      <c r="A17" s="9" t="s">
        <v>1</v>
      </c>
      <c r="B17" s="154">
        <f>SUM(B15:B16)</f>
        <v>68384</v>
      </c>
      <c r="C17" s="176">
        <f>SUM(C15:C16)</f>
        <v>1</v>
      </c>
      <c r="D17" s="177">
        <f>B17/National!B17</f>
        <v>1.6915143287965076E-2</v>
      </c>
      <c r="E17" s="1"/>
      <c r="F17" s="108" t="s">
        <v>35</v>
      </c>
      <c r="G17" s="117">
        <v>46882</v>
      </c>
      <c r="H17" s="105">
        <f>G17/G$18</f>
        <v>2.8999420407471485E-2</v>
      </c>
      <c r="I17" s="106">
        <f>+G17/National!G17</f>
        <v>6.0834644786506497E-3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1616653</v>
      </c>
      <c r="H18" s="185">
        <f>SUM(H13:H17)</f>
        <v>1</v>
      </c>
      <c r="I18" s="186">
        <f>+G18/National!G18</f>
        <v>6.3182295911518799E-3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844+156</f>
        <v>1000</v>
      </c>
      <c r="C20" s="174">
        <f>B20/B$26</f>
        <v>1.4623303696771174E-2</v>
      </c>
      <c r="D20" s="77">
        <f>B20/National!B20</f>
        <v>2.1389916793223673E-2</v>
      </c>
      <c r="E20" s="51"/>
      <c r="F20" s="163" t="s">
        <v>3</v>
      </c>
      <c r="G20" s="108">
        <f>230+19</f>
        <v>249</v>
      </c>
      <c r="H20" s="189">
        <f>G20/G$23</f>
        <v>0.68032786885245899</v>
      </c>
      <c r="I20" s="92">
        <f>+G20/National!G20</f>
        <v>1.1967126447830058E-2</v>
      </c>
    </row>
    <row r="21" spans="1:9">
      <c r="A21" s="146" t="s">
        <v>7</v>
      </c>
      <c r="B21" s="157">
        <f>1841+706</f>
        <v>2547</v>
      </c>
      <c r="C21" s="175">
        <f t="shared" ref="C21:C25" si="0">B21/B$26</f>
        <v>3.7245554515676182E-2</v>
      </c>
      <c r="D21" s="78">
        <f>B21/National!B21</f>
        <v>1.5968051358569584E-2</v>
      </c>
      <c r="E21" s="51"/>
      <c r="F21" s="163" t="s">
        <v>2</v>
      </c>
      <c r="G21" s="198">
        <f>88+13</f>
        <v>101</v>
      </c>
      <c r="H21" s="86">
        <f t="shared" ref="H21:H22" si="1">G21/G$23</f>
        <v>0.27595628415300544</v>
      </c>
      <c r="I21" s="106">
        <f>+G21/National!G21</f>
        <v>6.3299072449235399E-3</v>
      </c>
    </row>
    <row r="22" spans="1:9">
      <c r="A22" s="146" t="s">
        <v>6</v>
      </c>
      <c r="B22" s="157">
        <f>1948+616</f>
        <v>2564</v>
      </c>
      <c r="C22" s="175">
        <f t="shared" si="0"/>
        <v>3.7494150678521292E-2</v>
      </c>
      <c r="D22" s="78">
        <f>B22/National!B22</f>
        <v>1.0630402786127407E-2</v>
      </c>
      <c r="E22" s="51"/>
      <c r="F22" s="163" t="s">
        <v>28</v>
      </c>
      <c r="G22" s="181">
        <v>16</v>
      </c>
      <c r="H22" s="86">
        <f t="shared" si="1"/>
        <v>4.3715846994535519E-2</v>
      </c>
      <c r="I22" s="106">
        <f>+G22/National!G22</f>
        <v>3.2128514056224897E-2</v>
      </c>
    </row>
    <row r="23" spans="1:9">
      <c r="A23" s="146" t="s">
        <v>30</v>
      </c>
      <c r="B23" s="157">
        <f>3882+3150+1503</f>
        <v>8535</v>
      </c>
      <c r="C23" s="175">
        <f t="shared" si="0"/>
        <v>0.12480989705194198</v>
      </c>
      <c r="D23" s="78">
        <f>B23/National!B23</f>
        <v>1.0740077539962275E-2</v>
      </c>
      <c r="E23" s="51"/>
      <c r="F23" s="9" t="s">
        <v>1</v>
      </c>
      <c r="G23" s="197">
        <f>SUM(G20:G22)</f>
        <v>366</v>
      </c>
      <c r="H23" s="132">
        <f>SUM(H20:H22)</f>
        <v>1</v>
      </c>
      <c r="I23" s="133">
        <f>+G23/National!G23</f>
        <v>9.8226027213440328E-3</v>
      </c>
    </row>
    <row r="24" spans="1:9">
      <c r="A24" s="146" t="s">
        <v>8</v>
      </c>
      <c r="B24" s="157">
        <f>5012+48721</f>
        <v>53733</v>
      </c>
      <c r="C24" s="175">
        <f t="shared" si="0"/>
        <v>0.78575397753860554</v>
      </c>
      <c r="D24" s="78">
        <f>B24/National!B24</f>
        <v>1.9263945414339921E-2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5</v>
      </c>
      <c r="C25" s="175">
        <f t="shared" si="0"/>
        <v>7.3116518483855875E-5</v>
      </c>
      <c r="D25" s="78">
        <f>B25/National!B25</f>
        <v>4.4111160123511248E-4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68384</v>
      </c>
      <c r="C26" s="176">
        <f>SUM(C20:C25)</f>
        <v>1</v>
      </c>
      <c r="D26" s="177">
        <f>B26/National!B26</f>
        <v>1.6915101447568973E-2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873424</v>
      </c>
      <c r="H27" s="87"/>
      <c r="I27" s="113">
        <f>+G27/National!G27</f>
        <v>6.325529483109953E-3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859718</v>
      </c>
      <c r="H28" s="87"/>
      <c r="I28" s="114">
        <f>+G28/National!G28</f>
        <v>6.464985111895442E-3</v>
      </c>
    </row>
    <row r="29" spans="1:9">
      <c r="A29" s="146" t="s">
        <v>91</v>
      </c>
      <c r="B29" s="149">
        <f>10991+960</f>
        <v>11951</v>
      </c>
      <c r="C29" s="174">
        <f>B29/B$34</f>
        <v>0.17476310248011231</v>
      </c>
      <c r="D29" s="77">
        <f>B29/National!B29</f>
        <v>1.5327041435978727E-2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36014+3520</f>
        <v>39534</v>
      </c>
      <c r="C30" s="175">
        <f t="shared" ref="C30:C33" si="2">B30/B$34</f>
        <v>0.57811768834815158</v>
      </c>
      <c r="D30" s="78">
        <f>B30/National!B30</f>
        <v>2.2110169425171387E-2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1370+3517</f>
        <v>4887</v>
      </c>
      <c r="C31" s="175">
        <f t="shared" si="2"/>
        <v>7.1464085166120725E-2</v>
      </c>
      <c r="D31" s="78">
        <f>B31/National!B31</f>
        <v>3.7988557569727309E-3</v>
      </c>
      <c r="E31" s="51"/>
      <c r="F31" s="163" t="s">
        <v>16</v>
      </c>
      <c r="G31" s="168">
        <v>299573</v>
      </c>
      <c r="H31" s="92">
        <f>G31/G$38</f>
        <v>0.26720773081300553</v>
      </c>
      <c r="I31" s="112">
        <f>+G31/National!G31</f>
        <v>7.0918572506785101E-3</v>
      </c>
    </row>
    <row r="32" spans="1:9">
      <c r="A32" s="146" t="s">
        <v>94</v>
      </c>
      <c r="B32" s="157">
        <f>215+0</f>
        <v>215</v>
      </c>
      <c r="C32" s="175">
        <f t="shared" si="2"/>
        <v>3.1440102948058026E-3</v>
      </c>
      <c r="D32" s="78">
        <f>B32/National!B32</f>
        <v>3.7708051984495852E-3</v>
      </c>
      <c r="E32" s="51"/>
      <c r="F32" s="163" t="s">
        <v>17</v>
      </c>
      <c r="G32" s="169">
        <v>387677</v>
      </c>
      <c r="H32" s="106">
        <f t="shared" ref="H32:H37" si="3">G32/G$38</f>
        <v>0.34579315044544584</v>
      </c>
      <c r="I32" s="113">
        <f>+G32/National!G32</f>
        <v>6.2315238300970112E-3</v>
      </c>
    </row>
    <row r="33" spans="1:9">
      <c r="A33" s="146" t="s">
        <v>95</v>
      </c>
      <c r="B33" s="150">
        <f>11796+1</f>
        <v>11797</v>
      </c>
      <c r="C33" s="175">
        <f t="shared" si="2"/>
        <v>0.17251111371080954</v>
      </c>
      <c r="D33" s="78">
        <f>B33/National!B33</f>
        <v>8.9689201106954955E-2</v>
      </c>
      <c r="E33" s="51"/>
      <c r="F33" s="163" t="s">
        <v>18</v>
      </c>
      <c r="G33" s="169">
        <v>216196</v>
      </c>
      <c r="H33" s="106">
        <f t="shared" si="3"/>
        <v>0.19283861553226941</v>
      </c>
      <c r="I33" s="113">
        <f>+G33/National!G33</f>
        <v>6.8056087942180345E-3</v>
      </c>
    </row>
    <row r="34" spans="1:9">
      <c r="A34" s="9" t="s">
        <v>1</v>
      </c>
      <c r="B34" s="154">
        <f>SUM(B29:B33)</f>
        <v>68384</v>
      </c>
      <c r="C34" s="176">
        <f>SUM(C29:C33)</f>
        <v>0.99999999999999989</v>
      </c>
      <c r="D34" s="180">
        <f>B34/National!B34</f>
        <v>1.6915143287965076E-2</v>
      </c>
      <c r="E34" s="51"/>
      <c r="F34" s="163" t="s">
        <v>19</v>
      </c>
      <c r="G34" s="169">
        <v>46691</v>
      </c>
      <c r="H34" s="106">
        <f t="shared" si="3"/>
        <v>4.1646597521772792E-2</v>
      </c>
      <c r="I34" s="113">
        <f>+G34/National!G34</f>
        <v>5.4368000953894033E-3</v>
      </c>
    </row>
    <row r="35" spans="1:9">
      <c r="B35" s="49"/>
      <c r="C35" s="96"/>
      <c r="D35" s="96"/>
      <c r="E35" s="51"/>
      <c r="F35" s="163" t="s">
        <v>20</v>
      </c>
      <c r="G35" s="169">
        <v>75846</v>
      </c>
      <c r="H35" s="106">
        <f t="shared" si="3"/>
        <v>6.7651749494257549E-2</v>
      </c>
      <c r="I35" s="113">
        <f>+G35/National!G35</f>
        <v>5.688994579006075E-3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68820</v>
      </c>
      <c r="H36" s="106">
        <f t="shared" si="3"/>
        <v>6.1384824515397049E-2</v>
      </c>
      <c r="I36" s="113">
        <f>+G36/National!G36</f>
        <v>4.3500326252446896E-3</v>
      </c>
    </row>
    <row r="37" spans="1:9">
      <c r="A37" s="146" t="s">
        <v>5</v>
      </c>
      <c r="B37" s="149">
        <f>3386+714</f>
        <v>4100</v>
      </c>
      <c r="C37" s="174">
        <f>B37/B$43</f>
        <v>2.868336364908353E-2</v>
      </c>
      <c r="D37" s="77">
        <f>B37/National!B37</f>
        <v>1.9195834972002172E-2</v>
      </c>
      <c r="E37" s="51"/>
      <c r="F37" s="163" t="s">
        <v>22</v>
      </c>
      <c r="G37" s="170">
        <v>26321</v>
      </c>
      <c r="H37" s="106">
        <f t="shared" si="3"/>
        <v>2.3477331677851869E-2</v>
      </c>
      <c r="I37" s="114">
        <f>+G37/National!G37</f>
        <v>1.0259131849274289E-3</v>
      </c>
    </row>
    <row r="38" spans="1:9">
      <c r="A38" s="146" t="s">
        <v>7</v>
      </c>
      <c r="B38" s="157">
        <f>5550+2832</f>
        <v>8382</v>
      </c>
      <c r="C38" s="175">
        <f t="shared" ref="C38:C42" si="4">B38/B$43</f>
        <v>5.8639988806492231E-2</v>
      </c>
      <c r="D38" s="78">
        <f>B38/National!B38</f>
        <v>1.7553265007811222E-2</v>
      </c>
      <c r="E38" s="51"/>
      <c r="F38" s="47" t="s">
        <v>1</v>
      </c>
      <c r="G38" s="187">
        <f>SUM(G31:G37)</f>
        <v>1121124</v>
      </c>
      <c r="H38" s="188">
        <f>SUM(H31:H37)</f>
        <v>1</v>
      </c>
      <c r="I38" s="188">
        <f>+G38/National!G39</f>
        <v>5.5699772421792292E-3</v>
      </c>
    </row>
    <row r="39" spans="1:9">
      <c r="A39" s="146" t="s">
        <v>6</v>
      </c>
      <c r="B39" s="157">
        <f>4065+1609</f>
        <v>5674</v>
      </c>
      <c r="C39" s="175">
        <f t="shared" si="4"/>
        <v>3.9694976913390231E-2</v>
      </c>
      <c r="D39" s="78">
        <f>B39/National!B39</f>
        <v>1.0266245691487918E-2</v>
      </c>
      <c r="E39" s="51"/>
      <c r="H39" s="87"/>
      <c r="I39" s="87"/>
    </row>
    <row r="40" spans="1:9" ht="23.25">
      <c r="A40" s="146" t="s">
        <v>30</v>
      </c>
      <c r="B40" s="157">
        <f>7889+6300+3119</f>
        <v>17308</v>
      </c>
      <c r="C40" s="175">
        <f t="shared" si="4"/>
        <v>0.12108577025325311</v>
      </c>
      <c r="D40" s="78">
        <f>B40/National!B40</f>
        <v>1.0758369312665264E-2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97442+10024</f>
        <v>107466</v>
      </c>
      <c r="C41" s="175">
        <f t="shared" si="4"/>
        <v>0.75182594095424649</v>
      </c>
      <c r="D41" s="78">
        <f>B41/National!B41</f>
        <v>1.9263959227075446E-2</v>
      </c>
      <c r="E41" s="51"/>
      <c r="F41" s="163" t="s">
        <v>38</v>
      </c>
      <c r="G41" s="168">
        <v>598427</v>
      </c>
      <c r="H41" s="189">
        <f>G41/G$47</f>
        <v>0.44637878125592073</v>
      </c>
      <c r="I41" s="113">
        <f>+G41/National!G42</f>
        <v>6.5987506782049614E-3</v>
      </c>
    </row>
    <row r="42" spans="1:9">
      <c r="A42" s="156" t="s">
        <v>29</v>
      </c>
      <c r="B42" s="150">
        <v>10</v>
      </c>
      <c r="C42" s="175">
        <f t="shared" si="4"/>
        <v>6.9959423534350073E-5</v>
      </c>
      <c r="D42" s="78">
        <f>B42/National!B42</f>
        <v>1.8946570670708602E-4</v>
      </c>
      <c r="E42" s="51"/>
      <c r="F42" s="163" t="s">
        <v>39</v>
      </c>
      <c r="G42" s="169">
        <v>304642</v>
      </c>
      <c r="H42" s="86">
        <f t="shared" ref="H42:H46" si="5">G42/G$47</f>
        <v>0.22723861837678816</v>
      </c>
      <c r="I42" s="113">
        <f>+G42/National!G43</f>
        <v>6.8404065533376997E-3</v>
      </c>
    </row>
    <row r="43" spans="1:9">
      <c r="A43" s="9" t="s">
        <v>1</v>
      </c>
      <c r="B43" s="154">
        <f>SUM(B37:B42)</f>
        <v>142940</v>
      </c>
      <c r="C43" s="178">
        <f>SUM(C37:C42)</f>
        <v>1</v>
      </c>
      <c r="D43" s="179">
        <f>B43/National!B43</f>
        <v>1.684824638090969E-2</v>
      </c>
      <c r="E43" s="51"/>
      <c r="F43" s="163" t="s">
        <v>40</v>
      </c>
      <c r="G43" s="169">
        <v>104645</v>
      </c>
      <c r="H43" s="86">
        <f t="shared" si="5"/>
        <v>7.8056818232676378E-2</v>
      </c>
      <c r="I43" s="113">
        <f>+G43/National!G44</f>
        <v>7.9875734439612319E-3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139415</v>
      </c>
      <c r="H44" s="86">
        <f t="shared" si="5"/>
        <v>0.10399246322240506</v>
      </c>
      <c r="I44" s="113">
        <f>+G44/National!G45</f>
        <v>9.4695130110286907E-3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86773</v>
      </c>
      <c r="H45" s="86">
        <f t="shared" si="5"/>
        <v>6.4725732605514147E-2</v>
      </c>
      <c r="I45" s="113">
        <f>+G45/National!G46</f>
        <v>1.0430882615456093E-2</v>
      </c>
    </row>
    <row r="46" spans="1:9">
      <c r="A46" s="8" t="s">
        <v>3</v>
      </c>
      <c r="B46" s="52">
        <v>14919</v>
      </c>
      <c r="C46" s="93">
        <f>B46/B$48</f>
        <v>0.56771566650176952</v>
      </c>
      <c r="D46" s="77">
        <f>B46/National!B48</f>
        <v>1.5063336894119452E-2</v>
      </c>
      <c r="E46" s="51"/>
      <c r="F46" s="163" t="s">
        <v>43</v>
      </c>
      <c r="G46" s="170">
        <v>106724</v>
      </c>
      <c r="H46" s="86">
        <f t="shared" si="5"/>
        <v>7.9607586306695524E-2</v>
      </c>
      <c r="I46" s="113">
        <f>+G46/National!G47</f>
        <v>1.339740043431961E-2</v>
      </c>
    </row>
    <row r="47" spans="1:9">
      <c r="A47" s="8" t="s">
        <v>2</v>
      </c>
      <c r="B47" s="52">
        <v>11360</v>
      </c>
      <c r="C47" s="97">
        <f>B47/B$48</f>
        <v>0.43228433349823053</v>
      </c>
      <c r="D47" s="78">
        <f>B47/National!B49</f>
        <v>5.7284310200590898E-3</v>
      </c>
      <c r="E47" s="51"/>
      <c r="F47" s="9" t="s">
        <v>1</v>
      </c>
      <c r="G47" s="191">
        <f>SUM(G41:G46)</f>
        <v>1340626</v>
      </c>
      <c r="H47" s="182">
        <f>SUM(H41:H46)</f>
        <v>1</v>
      </c>
      <c r="I47" s="188">
        <f>+G47/National!G49</f>
        <v>7.3896510467855612E-3</v>
      </c>
    </row>
    <row r="48" spans="1:9">
      <c r="A48" s="9" t="s">
        <v>1</v>
      </c>
      <c r="B48" s="155">
        <f>SUM(B46:B47)</f>
        <v>26279</v>
      </c>
      <c r="C48" s="165">
        <f>SUM(C46:C47)</f>
        <v>1</v>
      </c>
      <c r="D48" s="177">
        <f>B48/National!B50</f>
        <v>8.8377065615069597E-3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280178</v>
      </c>
      <c r="H50" s="189">
        <f>G50/G$52</f>
        <v>0.87129236299857571</v>
      </c>
      <c r="I50" s="113">
        <f>+G50/National!G52</f>
        <v>8.9394634662788887E-3</v>
      </c>
    </row>
    <row r="51" spans="1:9">
      <c r="A51" s="146" t="s">
        <v>5</v>
      </c>
      <c r="B51" s="149">
        <f>4530+2660</f>
        <v>7190</v>
      </c>
      <c r="C51" s="174">
        <f>B51/B$57</f>
        <v>0.27360249628981315</v>
      </c>
      <c r="D51" s="77">
        <f>B51/National!B53</f>
        <v>9.9947037800553525E-3</v>
      </c>
      <c r="E51" s="51"/>
      <c r="F51" s="163" t="s">
        <v>97</v>
      </c>
      <c r="G51" s="194">
        <v>41388</v>
      </c>
      <c r="H51" s="86">
        <f>G51/G$52</f>
        <v>0.12870763700142429</v>
      </c>
      <c r="I51" s="113">
        <f>+G51/National!G53</f>
        <v>8.2072946723774805E-3</v>
      </c>
    </row>
    <row r="52" spans="1:9">
      <c r="A52" s="146" t="s">
        <v>7</v>
      </c>
      <c r="B52" s="157">
        <f>3218+4249</f>
        <v>7467</v>
      </c>
      <c r="C52" s="175">
        <f t="shared" ref="C52:C56" si="6">B52/B$57</f>
        <v>0.28414323223866966</v>
      </c>
      <c r="D52" s="78">
        <f>B52/National!B54</f>
        <v>1.0902846830114461E-2</v>
      </c>
      <c r="E52" s="51"/>
      <c r="F52" s="60" t="s">
        <v>1</v>
      </c>
      <c r="G52" s="190">
        <f>SUM(G50:G51)</f>
        <v>321566</v>
      </c>
      <c r="H52" s="185">
        <f>SUM(H50:H51)</f>
        <v>1</v>
      </c>
      <c r="I52" s="192">
        <f>+G52/National!G54</f>
        <v>8.8379861849539193E-3</v>
      </c>
    </row>
    <row r="53" spans="1:9">
      <c r="A53" s="146" t="s">
        <v>6</v>
      </c>
      <c r="B53" s="157">
        <f>1594+1539</f>
        <v>3133</v>
      </c>
      <c r="C53" s="175">
        <f t="shared" si="6"/>
        <v>0.1192206704973553</v>
      </c>
      <c r="D53" s="78">
        <f>B53/National!B55</f>
        <v>5.9224057103106189E-3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1092+567+1235</f>
        <v>2894</v>
      </c>
      <c r="C54" s="175">
        <f t="shared" si="6"/>
        <v>0.11012595608660908</v>
      </c>
      <c r="D54" s="78">
        <f>B54/National!B56</f>
        <v>6.9475953493843435E-3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3918+1670</f>
        <v>5588</v>
      </c>
      <c r="C55" s="175">
        <f t="shared" si="6"/>
        <v>0.21264127249895354</v>
      </c>
      <c r="D55" s="78">
        <f>B55/National!B57</f>
        <v>1.393231309308321E-2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f>7</f>
        <v>7</v>
      </c>
      <c r="C56" s="175">
        <f t="shared" si="6"/>
        <v>2.6637238859926178E-4</v>
      </c>
      <c r="D56" s="78">
        <f>B56/National!B58</f>
        <v>3.144315078338364E-5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26279</v>
      </c>
      <c r="C57" s="178">
        <f>SUM(C51:C56)</f>
        <v>0.99999999999999989</v>
      </c>
      <c r="D57" s="177">
        <f>B57/National!B59</f>
        <v>8.8377065615069597E-3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72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19490297</v>
      </c>
      <c r="C4" s="99"/>
      <c r="D4" s="77">
        <f>B4/National!B4</f>
        <v>6.4100225914827183E-2</v>
      </c>
      <c r="E4" s="1"/>
      <c r="F4" s="146" t="s">
        <v>10</v>
      </c>
      <c r="G4" s="195">
        <v>5813581</v>
      </c>
      <c r="H4" s="189">
        <f>G4/G$6</f>
        <v>0.51518080702412017</v>
      </c>
      <c r="I4" s="112">
        <f>+G4/National!G4</f>
        <v>5.6105810871264053E-2</v>
      </c>
    </row>
    <row r="5" spans="1:9">
      <c r="A5" s="8" t="s">
        <v>167</v>
      </c>
      <c r="B5" s="50">
        <f>40948+6266</f>
        <v>47214</v>
      </c>
      <c r="C5" s="100"/>
      <c r="D5" s="79">
        <f>B5/National!B5</f>
        <v>1.3346936387066244E-2</v>
      </c>
      <c r="E5" s="1"/>
      <c r="F5" s="146" t="s">
        <v>11</v>
      </c>
      <c r="G5" s="196">
        <v>5470964</v>
      </c>
      <c r="H5" s="86">
        <f>G5/G$6</f>
        <v>0.48481919297587983</v>
      </c>
      <c r="I5" s="113">
        <f>+G5/National!G5</f>
        <v>5.2252498148586589E-2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11284545</v>
      </c>
      <c r="H6" s="182">
        <f>SUM(H4:H5)</f>
        <v>1</v>
      </c>
      <c r="I6" s="183">
        <f>+G6/National!G6</f>
        <v>5.4169126557003358E-2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5634402</v>
      </c>
      <c r="C8" s="174">
        <f>B8/B10</f>
        <v>0.79833198209392897</v>
      </c>
      <c r="D8" s="77">
        <f>B8/National!B8</f>
        <v>4.1245602402592091E-2</v>
      </c>
      <c r="E8" s="1"/>
      <c r="F8" s="146" t="s">
        <v>32</v>
      </c>
      <c r="G8" s="206">
        <f>24.45/100</f>
        <v>0.2445</v>
      </c>
      <c r="H8" s="87"/>
      <c r="I8" s="87"/>
    </row>
    <row r="9" spans="1:9">
      <c r="A9" s="146" t="s">
        <v>169</v>
      </c>
      <c r="B9" s="150">
        <v>1423316</v>
      </c>
      <c r="C9" s="175">
        <f>B9/B10</f>
        <v>0.20166801790607106</v>
      </c>
      <c r="D9" s="78">
        <f>B9/National!B9</f>
        <v>3.6911322821016175E-2</v>
      </c>
      <c r="E9" s="1"/>
      <c r="F9" s="146" t="s">
        <v>31</v>
      </c>
      <c r="G9" s="207">
        <f>22.65/100</f>
        <v>0.22649999999999998</v>
      </c>
      <c r="H9" s="87"/>
      <c r="I9" s="87"/>
    </row>
    <row r="10" spans="1:9">
      <c r="A10" s="9" t="s">
        <v>9</v>
      </c>
      <c r="B10" s="152">
        <f>SUM(B8:B9)</f>
        <v>7057718</v>
      </c>
      <c r="C10" s="176">
        <f>SUM(C8:C9)</f>
        <v>1</v>
      </c>
      <c r="D10" s="165"/>
      <c r="E10" s="1"/>
      <c r="F10" s="146" t="s">
        <v>33</v>
      </c>
      <c r="G10" s="210" t="s">
        <v>206</v>
      </c>
      <c r="H10" s="87"/>
      <c r="I10" s="87"/>
    </row>
    <row r="11" spans="1:9">
      <c r="A11" s="146" t="s">
        <v>170</v>
      </c>
      <c r="B11" s="149">
        <v>146489</v>
      </c>
      <c r="C11" s="93">
        <f>B11/(B12+B11)</f>
        <v>2.6060965534320156E-2</v>
      </c>
      <c r="D11" s="77">
        <f>B11/National!B11</f>
        <v>3.8842115757666391E-2</v>
      </c>
      <c r="E11" s="1"/>
      <c r="G11" s="49"/>
      <c r="H11" s="87"/>
      <c r="I11" s="86"/>
    </row>
    <row r="12" spans="1:9" ht="23.25">
      <c r="A12" s="146" t="s">
        <v>171</v>
      </c>
      <c r="B12" s="150">
        <v>5474523</v>
      </c>
      <c r="C12" s="95">
        <f>B12/(B11+B12)</f>
        <v>0.97393903446567986</v>
      </c>
      <c r="D12" s="79">
        <f>B12/National!B12</f>
        <v>4.140938482409795E-2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8576151</v>
      </c>
      <c r="H13" s="189">
        <f>G13/G$18</f>
        <v>0.75041553878817024</v>
      </c>
      <c r="I13" s="92">
        <f>+G13/National!G13</f>
        <v>6.2563180788002506E-2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2439971</v>
      </c>
      <c r="H14" s="86">
        <f>G14/G$18</f>
        <v>0.21349812434418547</v>
      </c>
      <c r="I14" s="106">
        <f>+G14/National!G14</f>
        <v>2.2132945165239684E-2</v>
      </c>
    </row>
    <row r="15" spans="1:9">
      <c r="A15" s="146" t="s">
        <v>3</v>
      </c>
      <c r="B15" s="149">
        <v>66071</v>
      </c>
      <c r="C15" s="174">
        <f>B15/B$17</f>
        <v>0.57717540380701127</v>
      </c>
      <c r="D15" s="77">
        <f>B15/National!B15</f>
        <v>2.219211964955321E-2</v>
      </c>
      <c r="E15" s="3"/>
      <c r="F15" s="146" t="s">
        <v>13</v>
      </c>
      <c r="G15" s="150">
        <v>72781</v>
      </c>
      <c r="H15" s="86">
        <f>G15/G$18</f>
        <v>6.3683572419074496E-3</v>
      </c>
      <c r="I15" s="106">
        <f>+G15/National!G15</f>
        <v>8.6304173564107065E-2</v>
      </c>
    </row>
    <row r="16" spans="1:9">
      <c r="A16" s="146" t="s">
        <v>2</v>
      </c>
      <c r="B16" s="150">
        <v>48402</v>
      </c>
      <c r="C16" s="175">
        <f>B16/B$17</f>
        <v>0.42282459619298873</v>
      </c>
      <c r="D16" s="78">
        <f>B16/National!B16</f>
        <v>4.5424855003097023E-2</v>
      </c>
      <c r="E16" s="1"/>
      <c r="F16" s="9" t="s">
        <v>1</v>
      </c>
      <c r="G16" s="162">
        <v>11088903</v>
      </c>
      <c r="H16" s="105"/>
      <c r="I16" s="106"/>
    </row>
    <row r="17" spans="1:9">
      <c r="A17" s="9" t="s">
        <v>1</v>
      </c>
      <c r="B17" s="154">
        <f>SUM(B15:B16)</f>
        <v>114473</v>
      </c>
      <c r="C17" s="176">
        <f>SUM(C15:C16)</f>
        <v>1</v>
      </c>
      <c r="D17" s="177">
        <f>B17/National!B17</f>
        <v>2.8315500666869827E-2</v>
      </c>
      <c r="E17" s="1"/>
      <c r="F17" s="108" t="s">
        <v>35</v>
      </c>
      <c r="G17" s="117">
        <v>339633</v>
      </c>
      <c r="H17" s="105">
        <f>G17/G$18</f>
        <v>2.9717979625736839E-2</v>
      </c>
      <c r="I17" s="106">
        <f>+G17/National!G17</f>
        <v>4.4071184916973594E-2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11428536</v>
      </c>
      <c r="H18" s="185">
        <f>SUM(H13:H17)</f>
        <v>1</v>
      </c>
      <c r="I18" s="186">
        <f>+G18/National!G18</f>
        <v>4.4665190575061277E-2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842+863</f>
        <v>1705</v>
      </c>
      <c r="C20" s="174">
        <f>B20/B$26</f>
        <v>1.4894602126302732E-2</v>
      </c>
      <c r="D20" s="77">
        <f>B20/National!B20</f>
        <v>3.6469808132446366E-2</v>
      </c>
      <c r="E20" s="51"/>
      <c r="F20" s="163" t="s">
        <v>3</v>
      </c>
      <c r="G20" s="108">
        <f>417+203</f>
        <v>620</v>
      </c>
      <c r="H20" s="189">
        <f>G20/G$23</f>
        <v>0.50365556458164096</v>
      </c>
      <c r="I20" s="92">
        <f>+G20/National!G20</f>
        <v>2.9797664247608976E-2</v>
      </c>
    </row>
    <row r="21" spans="1:9">
      <c r="A21" s="146" t="s">
        <v>7</v>
      </c>
      <c r="B21" s="157">
        <f>1539+2863</f>
        <v>4402</v>
      </c>
      <c r="C21" s="175">
        <f t="shared" ref="C21:C25" si="0">B21/B$26</f>
        <v>3.8455154580636142E-2</v>
      </c>
      <c r="D21" s="78">
        <f>B21/National!B21</f>
        <v>2.7597707923212918E-2</v>
      </c>
      <c r="E21" s="51"/>
      <c r="F21" s="163" t="s">
        <v>2</v>
      </c>
      <c r="G21" s="198">
        <f>347+260</f>
        <v>607</v>
      </c>
      <c r="H21" s="86">
        <f t="shared" ref="H21:H22" si="1">G21/G$23</f>
        <v>0.49309504467912268</v>
      </c>
      <c r="I21" s="106">
        <f>+G21/National!G21</f>
        <v>3.804211581850088E-2</v>
      </c>
    </row>
    <row r="22" spans="1:9">
      <c r="A22" s="146" t="s">
        <v>6</v>
      </c>
      <c r="B22" s="157">
        <f>3747+5703</f>
        <v>9450</v>
      </c>
      <c r="C22" s="175">
        <f t="shared" si="0"/>
        <v>8.2553659878921298E-2</v>
      </c>
      <c r="D22" s="78">
        <f>B22/National!B22</f>
        <v>3.9179916664939154E-2</v>
      </c>
      <c r="E22" s="51"/>
      <c r="F22" s="163" t="s">
        <v>28</v>
      </c>
      <c r="G22" s="181">
        <v>4</v>
      </c>
      <c r="H22" s="86">
        <f t="shared" si="1"/>
        <v>3.249390739236393E-3</v>
      </c>
      <c r="I22" s="106">
        <f>+G22/National!G22</f>
        <v>8.0321285140562242E-3</v>
      </c>
    </row>
    <row r="23" spans="1:9">
      <c r="A23" s="146" t="s">
        <v>30</v>
      </c>
      <c r="B23" s="157">
        <f>5717+9527+5441</f>
        <v>20685</v>
      </c>
      <c r="C23" s="175">
        <f t="shared" si="0"/>
        <v>0.18070078884608329</v>
      </c>
      <c r="D23" s="78">
        <f>B23/National!B23</f>
        <v>2.6029115865743368E-2</v>
      </c>
      <c r="E23" s="51"/>
      <c r="F23" s="9" t="s">
        <v>1</v>
      </c>
      <c r="G23" s="197">
        <f>SUM(G20:G22)</f>
        <v>1231</v>
      </c>
      <c r="H23" s="132">
        <f>SUM(H20:H22)</f>
        <v>1</v>
      </c>
      <c r="I23" s="133">
        <f>+G23/National!G23</f>
        <v>3.3037223907034168E-2</v>
      </c>
    </row>
    <row r="24" spans="1:9">
      <c r="A24" s="146" t="s">
        <v>8</v>
      </c>
      <c r="B24" s="157">
        <f>44698+32742</f>
        <v>77440</v>
      </c>
      <c r="C24" s="175">
        <f t="shared" si="0"/>
        <v>0.67650321915594347</v>
      </c>
      <c r="D24" s="78">
        <f>B24/National!B24</f>
        <v>2.7763198274551645E-2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789</v>
      </c>
      <c r="C25" s="175">
        <f t="shared" si="0"/>
        <v>6.8925754121131116E-3</v>
      </c>
      <c r="D25" s="78">
        <f>B25/National!B25</f>
        <v>6.9607410674900755E-2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114471</v>
      </c>
      <c r="C26" s="176">
        <f>SUM(C20:C25)</f>
        <v>1</v>
      </c>
      <c r="D26" s="177">
        <f>B26/National!B26</f>
        <v>2.83149359178268E-2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7119528</v>
      </c>
      <c r="H27" s="87"/>
      <c r="I27" s="113">
        <f>+G27/National!G27</f>
        <v>5.1561193956001714E-2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7537405</v>
      </c>
      <c r="H28" s="87"/>
      <c r="I28" s="114">
        <f>+G28/National!G28</f>
        <v>5.6680459298661036E-2</v>
      </c>
    </row>
    <row r="29" spans="1:9">
      <c r="A29" s="146" t="s">
        <v>91</v>
      </c>
      <c r="B29" s="149">
        <f>9936+5033</f>
        <v>14969</v>
      </c>
      <c r="C29" s="174">
        <f>B29/B$34</f>
        <v>0.13076674441561617</v>
      </c>
      <c r="D29" s="77">
        <f>B29/National!B29</f>
        <v>1.9197597126195762E-2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15901+4443</f>
        <v>20344</v>
      </c>
      <c r="C30" s="175">
        <f t="shared" ref="C30:C33" si="2">B30/B$34</f>
        <v>0.17772186842082274</v>
      </c>
      <c r="D30" s="78">
        <f>B30/National!B30</f>
        <v>1.1377783345618625E-2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39340+37701</f>
        <v>77041</v>
      </c>
      <c r="C31" s="175">
        <f t="shared" si="2"/>
        <v>0.67301762018327782</v>
      </c>
      <c r="D31" s="78">
        <f>B31/National!B31</f>
        <v>5.9886974907496657E-2</v>
      </c>
      <c r="E31" s="51"/>
      <c r="F31" s="163" t="s">
        <v>16</v>
      </c>
      <c r="G31" s="168">
        <v>2739335</v>
      </c>
      <c r="H31" s="92">
        <f>G31/G$38</f>
        <v>0.20007943767243239</v>
      </c>
      <c r="I31" s="112">
        <f>+G31/National!G31</f>
        <v>6.4848877508278169E-2</v>
      </c>
    </row>
    <row r="32" spans="1:9">
      <c r="A32" s="146" t="s">
        <v>94</v>
      </c>
      <c r="B32" s="157">
        <f>526+807</f>
        <v>1333</v>
      </c>
      <c r="C32" s="175">
        <f t="shared" si="2"/>
        <v>1.1644870753291226E-2</v>
      </c>
      <c r="D32" s="78">
        <f>B32/National!B32</f>
        <v>2.3378992230387429E-2</v>
      </c>
      <c r="E32" s="51"/>
      <c r="F32" s="163" t="s">
        <v>17</v>
      </c>
      <c r="G32" s="169">
        <v>3290603</v>
      </c>
      <c r="H32" s="106">
        <f t="shared" ref="H32:H37" si="3">G32/G$38</f>
        <v>0.24034373227196346</v>
      </c>
      <c r="I32" s="113">
        <f>+G32/National!G32</f>
        <v>5.2893184300045436E-2</v>
      </c>
    </row>
    <row r="33" spans="1:9">
      <c r="A33" s="146" t="s">
        <v>95</v>
      </c>
      <c r="B33" s="150">
        <f>368+416</f>
        <v>784</v>
      </c>
      <c r="C33" s="175">
        <f t="shared" si="2"/>
        <v>6.8488962269919896E-3</v>
      </c>
      <c r="D33" s="78">
        <f>B33/National!B33</f>
        <v>5.9605267159322448E-3</v>
      </c>
      <c r="E33" s="51"/>
      <c r="F33" s="163" t="s">
        <v>18</v>
      </c>
      <c r="G33" s="169">
        <v>3108936</v>
      </c>
      <c r="H33" s="106">
        <f t="shared" si="3"/>
        <v>0.22707488008570736</v>
      </c>
      <c r="I33" s="113">
        <f>+G33/National!G33</f>
        <v>9.7865835548581095E-2</v>
      </c>
    </row>
    <row r="34" spans="1:9">
      <c r="A34" s="9" t="s">
        <v>1</v>
      </c>
      <c r="B34" s="154">
        <f>SUM(B29:B33)</f>
        <v>114471</v>
      </c>
      <c r="C34" s="176">
        <f>SUM(C29:C33)</f>
        <v>1</v>
      </c>
      <c r="D34" s="180">
        <f>B34/National!B34</f>
        <v>2.831500595631508E-2</v>
      </c>
      <c r="E34" s="51"/>
      <c r="F34" s="163" t="s">
        <v>19</v>
      </c>
      <c r="G34" s="169">
        <v>921911</v>
      </c>
      <c r="H34" s="106">
        <f t="shared" si="3"/>
        <v>6.7335844087718297E-2</v>
      </c>
      <c r="I34" s="113">
        <f>+G34/National!G34</f>
        <v>0.1073492924276743</v>
      </c>
    </row>
    <row r="35" spans="1:9">
      <c r="B35" s="49"/>
      <c r="C35" s="96"/>
      <c r="D35" s="96"/>
      <c r="E35" s="51"/>
      <c r="F35" s="163" t="s">
        <v>20</v>
      </c>
      <c r="G35" s="169">
        <v>1875053</v>
      </c>
      <c r="H35" s="106">
        <f t="shared" si="3"/>
        <v>0.13695278227964355</v>
      </c>
      <c r="I35" s="113">
        <f>+G35/National!G35</f>
        <v>0.1406424379973773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410397</v>
      </c>
      <c r="H36" s="106">
        <f t="shared" si="3"/>
        <v>2.9975158563101349E-2</v>
      </c>
      <c r="I36" s="113">
        <f>+G36/National!G36</f>
        <v>2.5940719838746653E-2</v>
      </c>
    </row>
    <row r="37" spans="1:9">
      <c r="A37" s="146" t="s">
        <v>5</v>
      </c>
      <c r="B37" s="149">
        <f>3457+4447</f>
        <v>7904</v>
      </c>
      <c r="C37" s="174">
        <f>B37/B$43</f>
        <v>3.2557698882476754E-2</v>
      </c>
      <c r="D37" s="77">
        <f>B37/National!B37</f>
        <v>3.7005824297245166E-2</v>
      </c>
      <c r="E37" s="51"/>
      <c r="F37" s="163" t="s">
        <v>22</v>
      </c>
      <c r="G37" s="170">
        <v>1345002</v>
      </c>
      <c r="H37" s="106">
        <f t="shared" si="3"/>
        <v>9.8238165039433611E-2</v>
      </c>
      <c r="I37" s="114">
        <f>+G37/National!G37</f>
        <v>5.2424120875109677E-2</v>
      </c>
    </row>
    <row r="38" spans="1:9">
      <c r="A38" s="146" t="s">
        <v>7</v>
      </c>
      <c r="B38" s="157">
        <f>3844+8707</f>
        <v>12551</v>
      </c>
      <c r="C38" s="175">
        <f t="shared" ref="C38:C42" si="4">B38/B$43</f>
        <v>5.1699352058953159E-2</v>
      </c>
      <c r="D38" s="78">
        <f>B38/National!B38</f>
        <v>2.6283825950016545E-2</v>
      </c>
      <c r="E38" s="51"/>
      <c r="F38" s="47" t="s">
        <v>1</v>
      </c>
      <c r="G38" s="187">
        <f>SUM(G31:G37)</f>
        <v>13691237</v>
      </c>
      <c r="H38" s="188">
        <f>SUM(H31:H37)</f>
        <v>1</v>
      </c>
      <c r="I38" s="188">
        <f>+G38/National!G39</f>
        <v>6.8020913393417884E-2</v>
      </c>
    </row>
    <row r="39" spans="1:9">
      <c r="A39" s="146" t="s">
        <v>6</v>
      </c>
      <c r="B39" s="157">
        <f>7753+13889</f>
        <v>21642</v>
      </c>
      <c r="C39" s="175">
        <f t="shared" si="4"/>
        <v>8.9146472572692564E-2</v>
      </c>
      <c r="D39" s="78">
        <f>B39/National!B39</f>
        <v>3.9157929019242428E-2</v>
      </c>
      <c r="E39" s="51"/>
      <c r="H39" s="87"/>
      <c r="I39" s="87"/>
    </row>
    <row r="40" spans="1:9" ht="23.25">
      <c r="A40" s="146" t="s">
        <v>30</v>
      </c>
      <c r="B40" s="157">
        <f>11489+19053+11520</f>
        <v>42062</v>
      </c>
      <c r="C40" s="175">
        <f t="shared" si="4"/>
        <v>0.1732593535418443</v>
      </c>
      <c r="D40" s="78">
        <f>B40/National!B40</f>
        <v>2.6145050267467433E-2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89395+65485</f>
        <v>154880</v>
      </c>
      <c r="C41" s="175">
        <f t="shared" si="4"/>
        <v>0.63797272304124497</v>
      </c>
      <c r="D41" s="78">
        <f>B41/National!B41</f>
        <v>2.7763218181466189E-2</v>
      </c>
      <c r="E41" s="51"/>
      <c r="F41" s="163" t="s">
        <v>38</v>
      </c>
      <c r="G41" s="168">
        <v>5318252</v>
      </c>
      <c r="H41" s="189">
        <f>G41/G$47</f>
        <v>0.41790654927071769</v>
      </c>
      <c r="I41" s="113">
        <f>+G41/National!G42</f>
        <v>5.8643441876561203E-2</v>
      </c>
    </row>
    <row r="42" spans="1:9">
      <c r="A42" s="156" t="s">
        <v>29</v>
      </c>
      <c r="B42" s="150">
        <v>3730</v>
      </c>
      <c r="C42" s="175">
        <f t="shared" si="4"/>
        <v>1.5364399902788248E-2</v>
      </c>
      <c r="D42" s="78">
        <f>B42/National!B42</f>
        <v>7.0670708601743085E-2</v>
      </c>
      <c r="E42" s="51"/>
      <c r="F42" s="163" t="s">
        <v>39</v>
      </c>
      <c r="G42" s="169">
        <v>4457475</v>
      </c>
      <c r="H42" s="86">
        <f t="shared" ref="H42:H46" si="5">G42/G$47</f>
        <v>0.35026696661055029</v>
      </c>
      <c r="I42" s="113">
        <f>+G42/National!G43</f>
        <v>0.10008777910248411</v>
      </c>
    </row>
    <row r="43" spans="1:9">
      <c r="A43" s="9" t="s">
        <v>1</v>
      </c>
      <c r="B43" s="154">
        <f>SUM(B37:B42)</f>
        <v>242769</v>
      </c>
      <c r="C43" s="178">
        <f>SUM(C37:C42)</f>
        <v>1</v>
      </c>
      <c r="D43" s="179">
        <f>B43/National!B43</f>
        <v>2.8615026764006329E-2</v>
      </c>
      <c r="E43" s="51"/>
      <c r="F43" s="163" t="s">
        <v>40</v>
      </c>
      <c r="G43" s="169">
        <v>913116</v>
      </c>
      <c r="H43" s="86">
        <f t="shared" si="5"/>
        <v>7.1752364619781211E-2</v>
      </c>
      <c r="I43" s="113">
        <f>+G43/National!G44</f>
        <v>6.9698323979703797E-2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520311</v>
      </c>
      <c r="H44" s="86">
        <f t="shared" si="5"/>
        <v>4.0885872756235772E-2</v>
      </c>
      <c r="I44" s="113">
        <f>+G44/National!G45</f>
        <v>3.5341188425071543E-2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871535</v>
      </c>
      <c r="H45" s="86">
        <f t="shared" si="5"/>
        <v>6.8484942875714605E-2</v>
      </c>
      <c r="I45" s="113">
        <f>+G45/National!G46</f>
        <v>0.10476622083207364</v>
      </c>
    </row>
    <row r="46" spans="1:9">
      <c r="A46" s="8" t="s">
        <v>3</v>
      </c>
      <c r="B46" s="52">
        <v>33120</v>
      </c>
      <c r="C46" s="93">
        <f>B46/B$48</f>
        <v>0.24700749524555318</v>
      </c>
      <c r="D46" s="77">
        <f>B46/National!B48</f>
        <v>3.3440426163498647E-2</v>
      </c>
      <c r="E46" s="51"/>
      <c r="F46" s="163" t="s">
        <v>43</v>
      </c>
      <c r="G46" s="170">
        <v>645247</v>
      </c>
      <c r="H46" s="86">
        <f t="shared" si="5"/>
        <v>5.0703303867000428E-2</v>
      </c>
      <c r="I46" s="113">
        <f>+G46/National!G47</f>
        <v>8.0999891664887233E-2</v>
      </c>
    </row>
    <row r="47" spans="1:9">
      <c r="A47" s="8" t="s">
        <v>2</v>
      </c>
      <c r="B47" s="52">
        <v>100965</v>
      </c>
      <c r="C47" s="97">
        <f>B47/B$48</f>
        <v>0.75299250475444679</v>
      </c>
      <c r="D47" s="78">
        <f>B47/National!B49</f>
        <v>5.0912943480657218E-2</v>
      </c>
      <c r="E47" s="51"/>
      <c r="F47" s="9" t="s">
        <v>1</v>
      </c>
      <c r="G47" s="191">
        <f>SUM(G41:G46)</f>
        <v>12725936</v>
      </c>
      <c r="H47" s="182">
        <f>SUM(H41:H46)</f>
        <v>0.99999999999999989</v>
      </c>
      <c r="I47" s="188">
        <f>+G47/National!G49</f>
        <v>7.0146503412380518E-2</v>
      </c>
    </row>
    <row r="48" spans="1:9">
      <c r="A48" s="9" t="s">
        <v>1</v>
      </c>
      <c r="B48" s="155">
        <f>SUM(B46:B47)</f>
        <v>134085</v>
      </c>
      <c r="C48" s="165">
        <f>SUM(C46:C47)</f>
        <v>1</v>
      </c>
      <c r="D48" s="177">
        <f>B48/National!B50</f>
        <v>4.5093187880043413E-2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1223182</v>
      </c>
      <c r="H50" s="189">
        <f>G50/G$52</f>
        <v>0.85928025087530979</v>
      </c>
      <c r="I50" s="113">
        <f>+G50/National!G52</f>
        <v>3.902729979373807E-2</v>
      </c>
    </row>
    <row r="51" spans="1:9">
      <c r="A51" s="146" t="s">
        <v>5</v>
      </c>
      <c r="B51" s="149">
        <f>6176+20516</f>
        <v>26692</v>
      </c>
      <c r="C51" s="174">
        <f>B51/B$57</f>
        <v>0.19906775552820971</v>
      </c>
      <c r="D51" s="77">
        <f>B51/National!B53</f>
        <v>3.71041214599774E-2</v>
      </c>
      <c r="E51" s="51"/>
      <c r="F51" s="163" t="s">
        <v>97</v>
      </c>
      <c r="G51" s="194">
        <v>200314</v>
      </c>
      <c r="H51" s="86">
        <f>G51/G$52</f>
        <v>0.14071974912469021</v>
      </c>
      <c r="I51" s="113">
        <f>+G51/National!G53</f>
        <v>3.9722528873166678E-2</v>
      </c>
    </row>
    <row r="52" spans="1:9">
      <c r="A52" s="146" t="s">
        <v>7</v>
      </c>
      <c r="B52" s="157">
        <f>3871+19184</f>
        <v>23055</v>
      </c>
      <c r="C52" s="175">
        <f t="shared" ref="C52:C56" si="6">B52/B$57</f>
        <v>0.17194317037699966</v>
      </c>
      <c r="D52" s="78">
        <f>B52/National!B54</f>
        <v>3.3663470425644687E-2</v>
      </c>
      <c r="E52" s="51"/>
      <c r="F52" s="60" t="s">
        <v>1</v>
      </c>
      <c r="G52" s="190">
        <f>SUM(G50:G51)</f>
        <v>1423496</v>
      </c>
      <c r="H52" s="185">
        <f>SUM(H50:H51)</f>
        <v>1</v>
      </c>
      <c r="I52" s="192">
        <f>+G52/National!G54</f>
        <v>3.9123657296906901E-2</v>
      </c>
    </row>
    <row r="53" spans="1:9">
      <c r="A53" s="146" t="s">
        <v>6</v>
      </c>
      <c r="B53" s="157">
        <f>4809+20919</f>
        <v>25728</v>
      </c>
      <c r="C53" s="175">
        <f t="shared" si="6"/>
        <v>0.19187828616176306</v>
      </c>
      <c r="D53" s="78">
        <f>B53/National!B55</f>
        <v>4.8634425188276924E-2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4138+9468+8922</f>
        <v>22528</v>
      </c>
      <c r="C54" s="175">
        <f t="shared" si="6"/>
        <v>0.16801282768393183</v>
      </c>
      <c r="D54" s="78">
        <f>B54/National!B56</f>
        <v>5.4082732560791456E-2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4658+14634</f>
        <v>19292</v>
      </c>
      <c r="C55" s="175">
        <f t="shared" si="6"/>
        <v>0.143878882798225</v>
      </c>
      <c r="D55" s="78">
        <f>B55/National!B57</f>
        <v>4.8099889798096152E-2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16790</v>
      </c>
      <c r="C56" s="175">
        <f t="shared" si="6"/>
        <v>0.12521907745087071</v>
      </c>
      <c r="D56" s="78">
        <f>B56/National!B58</f>
        <v>7.541864309328733E-2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134085</v>
      </c>
      <c r="C57" s="178">
        <f>SUM(C51:C56)</f>
        <v>1</v>
      </c>
      <c r="D57" s="177">
        <f>B57/National!B59</f>
        <v>4.5093187880043413E-2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73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9222414</v>
      </c>
      <c r="C4" s="99"/>
      <c r="D4" s="77">
        <f>B4/National!B4</f>
        <v>3.0330929327555399E-2</v>
      </c>
      <c r="E4" s="1"/>
      <c r="F4" s="146" t="s">
        <v>10</v>
      </c>
      <c r="G4" s="195">
        <v>3183269</v>
      </c>
      <c r="H4" s="189">
        <f>G4/G$6</f>
        <v>0.49299504413814466</v>
      </c>
      <c r="I4" s="112">
        <f>+G4/National!G4</f>
        <v>3.0721149058791451E-2</v>
      </c>
    </row>
    <row r="5" spans="1:9">
      <c r="A5" s="8" t="s">
        <v>167</v>
      </c>
      <c r="B5" s="50">
        <f>43232+5479</f>
        <v>48711</v>
      </c>
      <c r="C5" s="100"/>
      <c r="D5" s="79">
        <f>B5/National!B5</f>
        <v>1.3770123657186084E-2</v>
      </c>
      <c r="E5" s="1"/>
      <c r="F5" s="146" t="s">
        <v>11</v>
      </c>
      <c r="G5" s="196">
        <v>3273731</v>
      </c>
      <c r="H5" s="86">
        <f>G5/G$6</f>
        <v>0.50700495586185534</v>
      </c>
      <c r="I5" s="113">
        <f>+G5/National!G5</f>
        <v>3.1266998469825523E-2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6457000</v>
      </c>
      <c r="H6" s="182">
        <f>SUM(H4:H5)</f>
        <v>1</v>
      </c>
      <c r="I6" s="183">
        <f>+G6/National!G6</f>
        <v>3.0995494295832988E-2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4766818</v>
      </c>
      <c r="C8" s="174">
        <f>B8/B10</f>
        <v>0.82350038861649932</v>
      </c>
      <c r="D8" s="77">
        <f>B8/National!B8</f>
        <v>3.4894613475133514E-2</v>
      </c>
      <c r="E8" s="1"/>
      <c r="F8" s="146" t="s">
        <v>32</v>
      </c>
      <c r="G8" s="206">
        <f>30.15/100</f>
        <v>0.30149999999999999</v>
      </c>
      <c r="H8" s="87"/>
      <c r="I8" s="87"/>
    </row>
    <row r="9" spans="1:9">
      <c r="A9" s="146" t="s">
        <v>169</v>
      </c>
      <c r="B9" s="150">
        <v>1021665</v>
      </c>
      <c r="C9" s="175">
        <f>B9/B10</f>
        <v>0.17649961138350065</v>
      </c>
      <c r="D9" s="78">
        <f>B9/National!B9</f>
        <v>2.6495175091078502E-2</v>
      </c>
      <c r="E9" s="1"/>
      <c r="F9" s="146" t="s">
        <v>31</v>
      </c>
      <c r="G9" s="207">
        <f>30.15/100</f>
        <v>0.30149999999999999</v>
      </c>
      <c r="H9" s="87"/>
      <c r="I9" s="87"/>
    </row>
    <row r="10" spans="1:9">
      <c r="A10" s="9" t="s">
        <v>9</v>
      </c>
      <c r="B10" s="152">
        <f>SUM(B8:B9)</f>
        <v>5788483</v>
      </c>
      <c r="C10" s="176">
        <f>SUM(C8:C9)</f>
        <v>1</v>
      </c>
      <c r="D10" s="165"/>
      <c r="E10" s="1"/>
      <c r="F10" s="146" t="s">
        <v>33</v>
      </c>
      <c r="G10" s="205">
        <f>30.15/100</f>
        <v>0.30149999999999999</v>
      </c>
      <c r="H10" s="87"/>
      <c r="I10" s="87"/>
    </row>
    <row r="11" spans="1:9">
      <c r="A11" s="146" t="s">
        <v>170</v>
      </c>
      <c r="B11" s="149">
        <v>144286</v>
      </c>
      <c r="C11" s="93">
        <f>B11/(B12+B11)</f>
        <v>3.0609067102942998E-2</v>
      </c>
      <c r="D11" s="77">
        <f>B11/National!B11</f>
        <v>3.825798192499541E-2</v>
      </c>
      <c r="E11" s="1"/>
      <c r="G11" s="49"/>
      <c r="H11" s="87"/>
      <c r="I11" s="86"/>
    </row>
    <row r="12" spans="1:9" ht="23.25">
      <c r="A12" s="146" t="s">
        <v>171</v>
      </c>
      <c r="B12" s="150">
        <v>4569546</v>
      </c>
      <c r="C12" s="95">
        <f>B12/(B11+B12)</f>
        <v>0.96939093289705702</v>
      </c>
      <c r="D12" s="79">
        <f>B12/National!B12</f>
        <v>3.4564123446995748E-2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3572277</v>
      </c>
      <c r="H13" s="189">
        <f>G13/G$18</f>
        <v>0.56075942790020195</v>
      </c>
      <c r="I13" s="92">
        <f>+G13/National!G13</f>
        <v>2.6059827045468675E-2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2641648</v>
      </c>
      <c r="H14" s="86">
        <f>G14/G$18</f>
        <v>0.41467361607000597</v>
      </c>
      <c r="I14" s="106">
        <f>+G14/National!G14</f>
        <v>2.3962354605798628E-2</v>
      </c>
    </row>
    <row r="15" spans="1:9">
      <c r="A15" s="146" t="s">
        <v>3</v>
      </c>
      <c r="B15" s="149">
        <v>71674</v>
      </c>
      <c r="C15" s="174">
        <f>B15/B$17</f>
        <v>0.68194057258118224</v>
      </c>
      <c r="D15" s="77">
        <f>B15/National!B15</f>
        <v>2.4074071586052528E-2</v>
      </c>
      <c r="E15" s="3"/>
      <c r="F15" s="146" t="s">
        <v>13</v>
      </c>
      <c r="G15" s="150">
        <v>34904</v>
      </c>
      <c r="H15" s="86">
        <f>G15/G$18</f>
        <v>5.4790675727074498E-3</v>
      </c>
      <c r="I15" s="106">
        <f>+G15/National!G15</f>
        <v>4.1389385610002515E-2</v>
      </c>
    </row>
    <row r="16" spans="1:9">
      <c r="A16" s="146" t="s">
        <v>2</v>
      </c>
      <c r="B16" s="150">
        <v>33429</v>
      </c>
      <c r="C16" s="175">
        <f>B16/B$17</f>
        <v>0.31805942741881771</v>
      </c>
      <c r="D16" s="78">
        <f>B16/National!B16</f>
        <v>3.1372825046455319E-2</v>
      </c>
      <c r="E16" s="1"/>
      <c r="F16" s="9" t="s">
        <v>1</v>
      </c>
      <c r="G16" s="162">
        <v>6248829</v>
      </c>
      <c r="H16" s="105"/>
      <c r="I16" s="106"/>
    </row>
    <row r="17" spans="1:9">
      <c r="A17" s="9" t="s">
        <v>1</v>
      </c>
      <c r="B17" s="154">
        <f>SUM(B15:B16)</f>
        <v>105103</v>
      </c>
      <c r="C17" s="176">
        <f>SUM(C15:C16)</f>
        <v>1</v>
      </c>
      <c r="D17" s="177">
        <f>B17/National!B17</f>
        <v>2.5997781717872506E-2</v>
      </c>
      <c r="E17" s="1"/>
      <c r="F17" s="108" t="s">
        <v>35</v>
      </c>
      <c r="G17" s="117">
        <v>121598</v>
      </c>
      <c r="H17" s="105">
        <f>G17/G$18</f>
        <v>1.9087888457084586E-2</v>
      </c>
      <c r="I17" s="106">
        <f>+G17/National!G17</f>
        <v>1.5778702138879778E-2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6370427</v>
      </c>
      <c r="H18" s="185">
        <f>SUM(H13:H17)</f>
        <v>0.99999999999999989</v>
      </c>
      <c r="I18" s="186">
        <f>+G18/National!G18</f>
        <v>2.489700658067804E-2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542+583</f>
        <v>1125</v>
      </c>
      <c r="C20" s="174">
        <f>B20/B$26</f>
        <v>1.0703683970162886E-2</v>
      </c>
      <c r="D20" s="77">
        <f>B20/National!B20</f>
        <v>2.4063656392376634E-2</v>
      </c>
      <c r="E20" s="51"/>
      <c r="F20" s="163" t="s">
        <v>3</v>
      </c>
      <c r="G20" s="108">
        <f>566+447</f>
        <v>1013</v>
      </c>
      <c r="H20" s="189">
        <f>G20/G$23</f>
        <v>0.70690858339148643</v>
      </c>
      <c r="I20" s="92">
        <f>+G20/National!G20</f>
        <v>4.8685538520690151E-2</v>
      </c>
    </row>
    <row r="21" spans="1:9">
      <c r="A21" s="146" t="s">
        <v>7</v>
      </c>
      <c r="B21" s="157">
        <f>1949+1775</f>
        <v>3724</v>
      </c>
      <c r="C21" s="175">
        <f t="shared" ref="C21:C25" si="0">B21/B$26</f>
        <v>3.5431572537676967E-2</v>
      </c>
      <c r="D21" s="78">
        <f>B21/National!B21</f>
        <v>2.3347084122227378E-2</v>
      </c>
      <c r="E21" s="51"/>
      <c r="F21" s="163" t="s">
        <v>2</v>
      </c>
      <c r="G21" s="198">
        <f>217+203</f>
        <v>420</v>
      </c>
      <c r="H21" s="86">
        <f t="shared" ref="H21:H22" si="1">G21/G$23</f>
        <v>0.29309141660851362</v>
      </c>
      <c r="I21" s="106">
        <f>+G21/National!G21</f>
        <v>2.6322386563048382E-2</v>
      </c>
    </row>
    <row r="22" spans="1:9">
      <c r="A22" s="146" t="s">
        <v>6</v>
      </c>
      <c r="B22" s="157">
        <f>2598+3132</f>
        <v>5730</v>
      </c>
      <c r="C22" s="175">
        <f t="shared" si="0"/>
        <v>5.4517430354696299E-2</v>
      </c>
      <c r="D22" s="78">
        <f>B22/National!B22</f>
        <v>2.3756711374613902E-2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8014+6720+2886</f>
        <v>17620</v>
      </c>
      <c r="C23" s="175">
        <f t="shared" si="0"/>
        <v>0.16764347693712894</v>
      </c>
      <c r="D23" s="78">
        <f>B23/National!B23</f>
        <v>2.217225146504221E-2</v>
      </c>
      <c r="E23" s="51"/>
      <c r="F23" s="9" t="s">
        <v>1</v>
      </c>
      <c r="G23" s="197">
        <f>SUM(G20:G22)</f>
        <v>1433</v>
      </c>
      <c r="H23" s="132">
        <f>SUM(H20:H22)</f>
        <v>1</v>
      </c>
      <c r="I23" s="133">
        <f>+G23/National!G23</f>
        <v>3.8458441802420765E-2</v>
      </c>
    </row>
    <row r="24" spans="1:9">
      <c r="A24" s="146" t="s">
        <v>8</v>
      </c>
      <c r="B24" s="157">
        <f>51852+24625</f>
        <v>76477</v>
      </c>
      <c r="C24" s="175">
        <f t="shared" si="0"/>
        <v>0.72763167909879733</v>
      </c>
      <c r="D24" s="78">
        <f>B24/National!B24</f>
        <v>2.7417950857991813E-2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428</v>
      </c>
      <c r="C25" s="175">
        <f t="shared" si="0"/>
        <v>4.0721571015375248E-3</v>
      </c>
      <c r="D25" s="78">
        <f>B25/National!B25</f>
        <v>3.775915306572563E-2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105104</v>
      </c>
      <c r="C26" s="176">
        <f>SUM(C20:C25)</f>
        <v>0.99999999999999989</v>
      </c>
      <c r="D26" s="177">
        <f>B26/National!B26</f>
        <v>2.5997964765812023E-2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3852853</v>
      </c>
      <c r="H27" s="87"/>
      <c r="I27" s="113">
        <f>+G27/National!G27</f>
        <v>2.7903212237800464E-2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3583521</v>
      </c>
      <c r="H28" s="87"/>
      <c r="I28" s="114">
        <f>+G28/National!G28</f>
        <v>2.6947685070179604E-2</v>
      </c>
    </row>
    <row r="29" spans="1:9">
      <c r="A29" s="146" t="s">
        <v>91</v>
      </c>
      <c r="B29" s="149">
        <f>62890+16576</f>
        <v>79466</v>
      </c>
      <c r="C29" s="174">
        <f>B29/B$34</f>
        <v>0.75607017810930122</v>
      </c>
      <c r="D29" s="77">
        <f>B29/National!B29</f>
        <v>0.10191437325340853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0</f>
        <v>0</v>
      </c>
      <c r="C30" s="175">
        <f t="shared" ref="C30:C33" si="2">B30/B$34</f>
        <v>0</v>
      </c>
      <c r="D30" s="78">
        <f>B30/National!B30</f>
        <v>0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4930+16493</f>
        <v>21423</v>
      </c>
      <c r="C31" s="175">
        <f t="shared" si="2"/>
        <v>0.20382668594915512</v>
      </c>
      <c r="D31" s="78">
        <f>B31/National!B31</f>
        <v>1.6652933677435405E-2</v>
      </c>
      <c r="E31" s="51"/>
      <c r="F31" s="163" t="s">
        <v>16</v>
      </c>
      <c r="G31" s="168">
        <v>763608</v>
      </c>
      <c r="H31" s="92">
        <f>G31/G$38</f>
        <v>0.18219573142492701</v>
      </c>
      <c r="I31" s="112">
        <f>+G31/National!G31</f>
        <v>1.8077059452874977E-2</v>
      </c>
    </row>
    <row r="32" spans="1:9">
      <c r="A32" s="146" t="s">
        <v>94</v>
      </c>
      <c r="B32" s="157">
        <f>748+0</f>
        <v>748</v>
      </c>
      <c r="C32" s="175">
        <f t="shared" si="2"/>
        <v>7.1167605419394124E-3</v>
      </c>
      <c r="D32" s="78">
        <f>B32/National!B32</f>
        <v>1.3118894364838558E-2</v>
      </c>
      <c r="E32" s="51"/>
      <c r="F32" s="163" t="s">
        <v>17</v>
      </c>
      <c r="G32" s="169">
        <v>2048980</v>
      </c>
      <c r="H32" s="106">
        <f t="shared" ref="H32:H37" si="3">G32/G$38</f>
        <v>0.48888357609538785</v>
      </c>
      <c r="I32" s="113">
        <f>+G32/National!G32</f>
        <v>3.2935324245163301E-2</v>
      </c>
    </row>
    <row r="33" spans="1:9">
      <c r="A33" s="146" t="s">
        <v>95</v>
      </c>
      <c r="B33" s="150">
        <f>3106+361</f>
        <v>3467</v>
      </c>
      <c r="C33" s="175">
        <f t="shared" si="2"/>
        <v>3.2986375399604202E-2</v>
      </c>
      <c r="D33" s="78">
        <f>B33/National!B33</f>
        <v>2.6358604750174864E-2</v>
      </c>
      <c r="E33" s="51"/>
      <c r="F33" s="163" t="s">
        <v>18</v>
      </c>
      <c r="G33" s="169">
        <v>528275</v>
      </c>
      <c r="H33" s="106">
        <f t="shared" si="3"/>
        <v>0.12604562814756173</v>
      </c>
      <c r="I33" s="113">
        <f>+G33/National!G33</f>
        <v>1.6629507418109177E-2</v>
      </c>
    </row>
    <row r="34" spans="1:9">
      <c r="A34" s="9" t="s">
        <v>1</v>
      </c>
      <c r="B34" s="154">
        <f>SUM(B29:B33)</f>
        <v>105104</v>
      </c>
      <c r="C34" s="176">
        <f>SUM(C29:C33)</f>
        <v>1</v>
      </c>
      <c r="D34" s="180">
        <f>B34/National!B34</f>
        <v>2.5998029073149881E-2</v>
      </c>
      <c r="E34" s="51"/>
      <c r="F34" s="163" t="s">
        <v>19</v>
      </c>
      <c r="G34" s="169">
        <v>3664</v>
      </c>
      <c r="H34" s="106">
        <f t="shared" si="3"/>
        <v>8.7422494256337354E-4</v>
      </c>
      <c r="I34" s="113">
        <f>+G34/National!G34</f>
        <v>4.2664401168333887E-4</v>
      </c>
    </row>
    <row r="35" spans="1:9">
      <c r="B35" s="49"/>
      <c r="C35" s="96"/>
      <c r="D35" s="96"/>
      <c r="E35" s="51"/>
      <c r="F35" s="163" t="s">
        <v>20</v>
      </c>
      <c r="G35" s="169">
        <v>633853</v>
      </c>
      <c r="H35" s="106">
        <f t="shared" si="3"/>
        <v>0.15123638169176365</v>
      </c>
      <c r="I35" s="113">
        <f>+G35/National!G35</f>
        <v>4.754352610403631E-2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95147</v>
      </c>
      <c r="H36" s="106">
        <f t="shared" si="3"/>
        <v>2.2701932480916294E-2</v>
      </c>
      <c r="I36" s="113">
        <f>+G36/National!G36</f>
        <v>6.0141318540272663E-3</v>
      </c>
    </row>
    <row r="37" spans="1:9">
      <c r="A37" s="146" t="s">
        <v>5</v>
      </c>
      <c r="B37" s="149">
        <f>2269+3000</f>
        <v>5269</v>
      </c>
      <c r="C37" s="174">
        <f>B37/B$43</f>
        <v>2.3792536666425838E-2</v>
      </c>
      <c r="D37" s="77">
        <f>B37/National!B37</f>
        <v>2.4668988894507183E-2</v>
      </c>
      <c r="E37" s="51"/>
      <c r="F37" s="163" t="s">
        <v>22</v>
      </c>
      <c r="G37" s="170">
        <v>117614</v>
      </c>
      <c r="H37" s="106">
        <f t="shared" si="3"/>
        <v>2.8062525216880081E-2</v>
      </c>
      <c r="I37" s="114">
        <f>+G37/National!G37</f>
        <v>4.5842389473065093E-3</v>
      </c>
    </row>
    <row r="38" spans="1:9">
      <c r="A38" s="146" t="s">
        <v>7</v>
      </c>
      <c r="B38" s="157">
        <f>6202+6211</f>
        <v>12413</v>
      </c>
      <c r="C38" s="175">
        <f t="shared" ref="C38:C42" si="4">B38/B$43</f>
        <v>5.6051766490860487E-2</v>
      </c>
      <c r="D38" s="78">
        <f>B38/National!B38</f>
        <v>2.5994831608441984E-2</v>
      </c>
      <c r="E38" s="51"/>
      <c r="F38" s="47" t="s">
        <v>1</v>
      </c>
      <c r="G38" s="187">
        <f>SUM(G31:G37)</f>
        <v>4191141</v>
      </c>
      <c r="H38" s="188">
        <f>SUM(H31:H37)</f>
        <v>1</v>
      </c>
      <c r="I38" s="188">
        <f>+G38/National!G39</f>
        <v>2.0822460306589012E-2</v>
      </c>
    </row>
    <row r="39" spans="1:9">
      <c r="A39" s="146" t="s">
        <v>6</v>
      </c>
      <c r="B39" s="157">
        <f>5740+7521</f>
        <v>13261</v>
      </c>
      <c r="C39" s="175">
        <f t="shared" si="4"/>
        <v>5.9880969583122605E-2</v>
      </c>
      <c r="D39" s="78">
        <f>B39/National!B39</f>
        <v>2.3993775839764062E-2</v>
      </c>
      <c r="E39" s="51"/>
      <c r="H39" s="87"/>
      <c r="I39" s="87"/>
    </row>
    <row r="40" spans="1:9" ht="23.25">
      <c r="A40" s="146" t="s">
        <v>30</v>
      </c>
      <c r="B40" s="157">
        <f>16331+13441+5937</f>
        <v>35709</v>
      </c>
      <c r="C40" s="175">
        <f t="shared" si="4"/>
        <v>0.16124647785564628</v>
      </c>
      <c r="D40" s="78">
        <f>B40/National!B40</f>
        <v>2.2196129523108614E-2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103703+49251</f>
        <v>152954</v>
      </c>
      <c r="C41" s="175">
        <f t="shared" si="4"/>
        <v>0.6906744454880428</v>
      </c>
      <c r="D41" s="78">
        <f>B41/National!B41</f>
        <v>2.7417970517355238E-2</v>
      </c>
      <c r="E41" s="51"/>
      <c r="F41" s="163" t="s">
        <v>38</v>
      </c>
      <c r="G41" s="168">
        <v>1959001</v>
      </c>
      <c r="H41" s="189">
        <f>G41/G$47</f>
        <v>0.49743575680152274</v>
      </c>
      <c r="I41" s="113">
        <f>+G41/National!G42</f>
        <v>2.1601564062708061E-2</v>
      </c>
    </row>
    <row r="42" spans="1:9">
      <c r="A42" s="156" t="s">
        <v>29</v>
      </c>
      <c r="B42" s="150">
        <v>1850</v>
      </c>
      <c r="C42" s="175">
        <f t="shared" si="4"/>
        <v>8.3538039159020295E-3</v>
      </c>
      <c r="D42" s="78">
        <f>B42/National!B42</f>
        <v>3.5051155740810913E-2</v>
      </c>
      <c r="E42" s="51"/>
      <c r="F42" s="163" t="s">
        <v>39</v>
      </c>
      <c r="G42" s="169">
        <v>979128</v>
      </c>
      <c r="H42" s="86">
        <f t="shared" ref="H42:H46" si="5">G42/G$47</f>
        <v>0.24862329201749328</v>
      </c>
      <c r="I42" s="113">
        <f>+G42/National!G43</f>
        <v>2.1985260035571049E-2</v>
      </c>
    </row>
    <row r="43" spans="1:9">
      <c r="A43" s="9" t="s">
        <v>1</v>
      </c>
      <c r="B43" s="154">
        <f>SUM(B37:B42)</f>
        <v>221456</v>
      </c>
      <c r="C43" s="178">
        <f>SUM(C37:C42)</f>
        <v>1</v>
      </c>
      <c r="D43" s="179">
        <f>B43/National!B43</f>
        <v>2.610287708500585E-2</v>
      </c>
      <c r="E43" s="51"/>
      <c r="F43" s="163" t="s">
        <v>40</v>
      </c>
      <c r="G43" s="169">
        <v>321379</v>
      </c>
      <c r="H43" s="86">
        <f t="shared" si="5"/>
        <v>8.1605576559234311E-2</v>
      </c>
      <c r="I43" s="113">
        <f>+G43/National!G44</f>
        <v>2.4530922316850463E-2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500454</v>
      </c>
      <c r="H44" s="86">
        <f t="shared" si="5"/>
        <v>0.12707686940147006</v>
      </c>
      <c r="I44" s="113">
        <f>+G44/National!G45</f>
        <v>3.3992437430845693E-2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71105</v>
      </c>
      <c r="H45" s="86">
        <f t="shared" si="5"/>
        <v>1.8055207469201022E-2</v>
      </c>
      <c r="I45" s="113">
        <f>+G45/National!G46</f>
        <v>8.5474503402210994E-3</v>
      </c>
    </row>
    <row r="46" spans="1:9">
      <c r="A46" s="8" t="s">
        <v>3</v>
      </c>
      <c r="B46" s="52">
        <v>37089</v>
      </c>
      <c r="C46" s="93">
        <f>B46/B$48</f>
        <v>0.36464723926380366</v>
      </c>
      <c r="D46" s="77">
        <f>B46/National!B48</f>
        <v>3.7447825059722259E-2</v>
      </c>
      <c r="E46" s="51"/>
      <c r="F46" s="163" t="s">
        <v>43</v>
      </c>
      <c r="G46" s="170">
        <v>107132</v>
      </c>
      <c r="H46" s="86">
        <f t="shared" si="5"/>
        <v>2.7203297751078603E-2</v>
      </c>
      <c r="I46" s="113">
        <f>+G46/National!G47</f>
        <v>1.3448617961559991E-2</v>
      </c>
    </row>
    <row r="47" spans="1:9">
      <c r="A47" s="8" t="s">
        <v>2</v>
      </c>
      <c r="B47" s="52">
        <v>64623</v>
      </c>
      <c r="C47" s="97">
        <f>B47/B$48</f>
        <v>0.63535276073619629</v>
      </c>
      <c r="D47" s="78">
        <f>B47/National!B49</f>
        <v>3.2587006849408323E-2</v>
      </c>
      <c r="E47" s="51"/>
      <c r="F47" s="9" t="s">
        <v>1</v>
      </c>
      <c r="G47" s="191">
        <f>SUM(G41:G46)</f>
        <v>3938199</v>
      </c>
      <c r="H47" s="182">
        <f>SUM(H41:H46)</f>
        <v>1</v>
      </c>
      <c r="I47" s="188">
        <f>+G47/National!G49</f>
        <v>2.170770696883385E-2</v>
      </c>
    </row>
    <row r="48" spans="1:9">
      <c r="A48" s="9" t="s">
        <v>1</v>
      </c>
      <c r="B48" s="155">
        <f>SUM(B46:B47)</f>
        <v>101712</v>
      </c>
      <c r="C48" s="165">
        <f>SUM(C46:C47)</f>
        <v>1</v>
      </c>
      <c r="D48" s="177">
        <f>B48/National!B50</f>
        <v>3.4206050830853381E-2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946919</v>
      </c>
      <c r="H50" s="189">
        <f>G50/G$52</f>
        <v>0.85937373794210026</v>
      </c>
      <c r="I50" s="113">
        <f>+G50/National!G52</f>
        <v>3.0212749773448806E-2</v>
      </c>
    </row>
    <row r="51" spans="1:9">
      <c r="A51" s="146" t="s">
        <v>5</v>
      </c>
      <c r="B51" s="149">
        <f>5957+13975</f>
        <v>19932</v>
      </c>
      <c r="C51" s="174">
        <f>B51/B$57</f>
        <v>0.19596507786691836</v>
      </c>
      <c r="D51" s="77">
        <f>B51/National!B53</f>
        <v>2.7707153789160402E-2</v>
      </c>
      <c r="E51" s="51"/>
      <c r="F51" s="163" t="s">
        <v>97</v>
      </c>
      <c r="G51" s="194">
        <v>154952</v>
      </c>
      <c r="H51" s="86">
        <f>G51/G$52</f>
        <v>0.14062626205789969</v>
      </c>
      <c r="I51" s="113">
        <f>+G51/National!G53</f>
        <v>3.072718478965486E-2</v>
      </c>
    </row>
    <row r="52" spans="1:9">
      <c r="A52" s="146" t="s">
        <v>7</v>
      </c>
      <c r="B52" s="157">
        <f>8069+12674</f>
        <v>20743</v>
      </c>
      <c r="C52" s="175">
        <f t="shared" ref="C52:C56" si="6">B52/B$57</f>
        <v>0.20393857165329557</v>
      </c>
      <c r="D52" s="78">
        <f>B52/National!B54</f>
        <v>3.0287632489227837E-2</v>
      </c>
      <c r="E52" s="51"/>
      <c r="F52" s="60" t="s">
        <v>1</v>
      </c>
      <c r="G52" s="190">
        <f>SUM(G50:G51)</f>
        <v>1101871</v>
      </c>
      <c r="H52" s="185">
        <f>SUM(H50:H51)</f>
        <v>1</v>
      </c>
      <c r="I52" s="192">
        <f>+G52/National!G54</f>
        <v>3.0284049543799284E-2</v>
      </c>
    </row>
    <row r="53" spans="1:9">
      <c r="A53" s="146" t="s">
        <v>6</v>
      </c>
      <c r="B53" s="157">
        <f>5478+10780</f>
        <v>16258</v>
      </c>
      <c r="C53" s="175">
        <f t="shared" si="6"/>
        <v>0.1598434796287557</v>
      </c>
      <c r="D53" s="78">
        <f>B53/National!B55</f>
        <v>3.0732994586093215E-2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9189+3432+4366</f>
        <v>16987</v>
      </c>
      <c r="C54" s="175">
        <f t="shared" si="6"/>
        <v>0.16701077552304547</v>
      </c>
      <c r="D54" s="78">
        <f>B54/National!B56</f>
        <v>4.0780512163093238E-2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4964+17587</f>
        <v>22551</v>
      </c>
      <c r="C55" s="175">
        <f t="shared" si="6"/>
        <v>0.22171425200566305</v>
      </c>
      <c r="D55" s="78">
        <f>B55/National!B57</f>
        <v>5.6225410265232548E-2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f>5241</f>
        <v>5241</v>
      </c>
      <c r="C56" s="175">
        <f t="shared" si="6"/>
        <v>5.1527843322321847E-2</v>
      </c>
      <c r="D56" s="78">
        <f>B56/National!B58</f>
        <v>2.3541936179387667E-2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101712</v>
      </c>
      <c r="C57" s="178">
        <f>SUM(C51:C56)</f>
        <v>1</v>
      </c>
      <c r="D57" s="177">
        <f>B57/National!B59</f>
        <v>3.4206050830853381E-2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74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641481</v>
      </c>
      <c r="C4" s="99"/>
      <c r="D4" s="77">
        <f>B4/National!B4</f>
        <v>2.1097203916425316E-3</v>
      </c>
      <c r="E4" s="1"/>
      <c r="F4" s="146" t="s">
        <v>10</v>
      </c>
      <c r="G4" s="195">
        <v>239062</v>
      </c>
      <c r="H4" s="189">
        <f>G4/G$6</f>
        <v>0.50539618915942064</v>
      </c>
      <c r="I4" s="112">
        <f>+G4/National!G4</f>
        <v>2.3071437997520166E-3</v>
      </c>
    </row>
    <row r="5" spans="1:9">
      <c r="A5" s="8" t="s">
        <v>167</v>
      </c>
      <c r="B5" s="50">
        <f>68698+278</f>
        <v>68976</v>
      </c>
      <c r="C5" s="100"/>
      <c r="D5" s="79">
        <f>B5/National!B5</f>
        <v>1.949884111141359E-2</v>
      </c>
      <c r="E5" s="1"/>
      <c r="F5" s="146" t="s">
        <v>11</v>
      </c>
      <c r="G5" s="196">
        <v>233957</v>
      </c>
      <c r="H5" s="86">
        <f>G5/G$6</f>
        <v>0.49460381084057936</v>
      </c>
      <c r="I5" s="113">
        <f>+G5/National!G5</f>
        <v>2.2344942699949904E-3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473019</v>
      </c>
      <c r="H6" s="182">
        <f>SUM(H4:H5)</f>
        <v>1</v>
      </c>
      <c r="I6" s="183">
        <f>+G6/National!G6</f>
        <v>2.2706299700047429E-3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362642</v>
      </c>
      <c r="C8" s="174">
        <f>B8/B10</f>
        <v>0.6462098816250671</v>
      </c>
      <c r="D8" s="77">
        <f>B8/National!B8</f>
        <v>2.6546539892753126E-3</v>
      </c>
      <c r="E8" s="1"/>
      <c r="F8" s="146" t="s">
        <v>32</v>
      </c>
      <c r="G8" s="206">
        <f>23/100</f>
        <v>0.23</v>
      </c>
      <c r="H8" s="87"/>
      <c r="I8" s="87"/>
    </row>
    <row r="9" spans="1:9">
      <c r="A9" s="146" t="s">
        <v>169</v>
      </c>
      <c r="B9" s="150">
        <v>198541</v>
      </c>
      <c r="C9" s="175">
        <f>B9/B10</f>
        <v>0.35379011837493296</v>
      </c>
      <c r="D9" s="78">
        <f>B9/National!B9</f>
        <v>5.1488291737094025E-3</v>
      </c>
      <c r="E9" s="1"/>
      <c r="F9" s="146" t="s">
        <v>31</v>
      </c>
      <c r="G9" s="207">
        <f>23/100</f>
        <v>0.23</v>
      </c>
      <c r="H9" s="87"/>
      <c r="I9" s="87"/>
    </row>
    <row r="10" spans="1:9">
      <c r="A10" s="9" t="s">
        <v>9</v>
      </c>
      <c r="B10" s="152">
        <f>SUM(B8:B9)</f>
        <v>561183</v>
      </c>
      <c r="C10" s="176">
        <f>SUM(C8:C9)</f>
        <v>1</v>
      </c>
      <c r="D10" s="165"/>
      <c r="E10" s="1"/>
      <c r="F10" s="146" t="s">
        <v>33</v>
      </c>
      <c r="G10" s="205">
        <f>23/100</f>
        <v>0.23</v>
      </c>
      <c r="H10" s="87"/>
      <c r="I10" s="87"/>
    </row>
    <row r="11" spans="1:9">
      <c r="A11" s="146" t="s">
        <v>170</v>
      </c>
      <c r="B11" s="149">
        <v>23777</v>
      </c>
      <c r="C11" s="93">
        <f>B11/(B12+B11)</f>
        <v>6.5877769958384819E-2</v>
      </c>
      <c r="D11" s="77">
        <f>B11/National!B11</f>
        <v>6.3045620242477849E-3</v>
      </c>
      <c r="E11" s="1"/>
      <c r="G11" s="49"/>
      <c r="H11" s="87"/>
      <c r="I11" s="86"/>
    </row>
    <row r="12" spans="1:9" ht="23.25">
      <c r="A12" s="146" t="s">
        <v>171</v>
      </c>
      <c r="B12" s="150">
        <v>337149</v>
      </c>
      <c r="C12" s="95">
        <f>B12/(B11+B12)</f>
        <v>0.93412223004161521</v>
      </c>
      <c r="D12" s="79">
        <f>B12/National!B12</f>
        <v>2.5502007543049504E-3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346622</v>
      </c>
      <c r="H13" s="189">
        <f>G13/G$18</f>
        <v>0.46324294922425763</v>
      </c>
      <c r="I13" s="92">
        <f>+G13/National!G13</f>
        <v>2.5286139261189553E-3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368095</v>
      </c>
      <c r="H14" s="86">
        <f>G14/G$18</f>
        <v>0.49194053866951065</v>
      </c>
      <c r="I14" s="106">
        <f>+G14/National!G14</f>
        <v>3.3389849512961019E-3</v>
      </c>
    </row>
    <row r="15" spans="1:9">
      <c r="A15" s="146" t="s">
        <v>3</v>
      </c>
      <c r="B15" s="149">
        <v>84945</v>
      </c>
      <c r="C15" s="174">
        <f>B15/B$17</f>
        <v>0.97815573109785592</v>
      </c>
      <c r="D15" s="77">
        <f>B15/National!B15</f>
        <v>2.8531573665167734E-2</v>
      </c>
      <c r="E15" s="3"/>
      <c r="F15" s="146" t="s">
        <v>13</v>
      </c>
      <c r="G15" s="150">
        <v>2504</v>
      </c>
      <c r="H15" s="86">
        <f>G15/G$18</f>
        <v>3.3464706361902622E-3</v>
      </c>
      <c r="I15" s="106">
        <f>+G15/National!G15</f>
        <v>2.9692591556109986E-3</v>
      </c>
    </row>
    <row r="16" spans="1:9">
      <c r="A16" s="146" t="s">
        <v>2</v>
      </c>
      <c r="B16" s="150">
        <v>1897</v>
      </c>
      <c r="C16" s="175">
        <f>B16/B$17</f>
        <v>2.1844268902144123E-2</v>
      </c>
      <c r="D16" s="78">
        <f>B16/National!B16</f>
        <v>1.7803179608461438E-3</v>
      </c>
      <c r="E16" s="1"/>
      <c r="F16" s="9" t="s">
        <v>1</v>
      </c>
      <c r="G16" s="162">
        <v>717221</v>
      </c>
      <c r="H16" s="105"/>
      <c r="I16" s="106"/>
    </row>
    <row r="17" spans="1:9">
      <c r="A17" s="9" t="s">
        <v>1</v>
      </c>
      <c r="B17" s="154">
        <f>SUM(B15:B16)</f>
        <v>86842</v>
      </c>
      <c r="C17" s="176">
        <f>SUM(C15:C16)</f>
        <v>1</v>
      </c>
      <c r="D17" s="177">
        <f>B17/National!B17</f>
        <v>2.1480826997740163E-2</v>
      </c>
      <c r="E17" s="1"/>
      <c r="F17" s="108" t="s">
        <v>35</v>
      </c>
      <c r="G17" s="117">
        <v>31030</v>
      </c>
      <c r="H17" s="105">
        <f>G17/G$18</f>
        <v>4.147004147004147E-2</v>
      </c>
      <c r="I17" s="106">
        <f>+G17/National!G17</f>
        <v>4.0264899699784494E-3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748251</v>
      </c>
      <c r="H18" s="185">
        <f>SUM(H13:H17)</f>
        <v>1</v>
      </c>
      <c r="I18" s="186">
        <f>+G18/National!G18</f>
        <v>2.9243267477986833E-3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519+52</f>
        <v>571</v>
      </c>
      <c r="C20" s="174">
        <f>B20/B$26</f>
        <v>6.5751594850417998E-3</v>
      </c>
      <c r="D20" s="77">
        <f>B20/National!B20</f>
        <v>1.2213642488930717E-2</v>
      </c>
      <c r="E20" s="51"/>
      <c r="F20" s="163" t="s">
        <v>3</v>
      </c>
      <c r="G20" s="108">
        <f>58+33</f>
        <v>91</v>
      </c>
      <c r="H20" s="189">
        <f>G20/G$23</f>
        <v>0.875</v>
      </c>
      <c r="I20" s="92">
        <f>+G20/National!G20</f>
        <v>4.3735281395684148E-3</v>
      </c>
    </row>
    <row r="21" spans="1:9">
      <c r="A21" s="146" t="s">
        <v>7</v>
      </c>
      <c r="B21" s="157">
        <f>2932+169</f>
        <v>3101</v>
      </c>
      <c r="C21" s="175">
        <f t="shared" ref="C21:C25" si="0">B21/B$26</f>
        <v>3.5708528131549247E-2</v>
      </c>
      <c r="D21" s="78">
        <f>B21/National!B21</f>
        <v>1.9441274936366031E-2</v>
      </c>
      <c r="E21" s="51"/>
      <c r="F21" s="163" t="s">
        <v>2</v>
      </c>
      <c r="G21" s="198">
        <f>11+1</f>
        <v>12</v>
      </c>
      <c r="H21" s="86">
        <f t="shared" ref="H21:H22" si="1">G21/G$23</f>
        <v>0.11538461538461539</v>
      </c>
      <c r="I21" s="106">
        <f>+G21/National!G21</f>
        <v>7.5206818751566808E-4</v>
      </c>
    </row>
    <row r="22" spans="1:9">
      <c r="A22" s="146" t="s">
        <v>6</v>
      </c>
      <c r="B22" s="157">
        <f>2516+296</f>
        <v>2812</v>
      </c>
      <c r="C22" s="175">
        <f t="shared" si="0"/>
        <v>3.2380645309873106E-2</v>
      </c>
      <c r="D22" s="78">
        <f>B22/National!B22</f>
        <v>1.1658616472149091E-2</v>
      </c>
      <c r="E22" s="51"/>
      <c r="F22" s="163" t="s">
        <v>28</v>
      </c>
      <c r="G22" s="181">
        <v>1</v>
      </c>
      <c r="H22" s="86">
        <f t="shared" si="1"/>
        <v>9.6153846153846159E-3</v>
      </c>
      <c r="I22" s="106">
        <f>+G22/National!G22</f>
        <v>2.008032128514056E-3</v>
      </c>
    </row>
    <row r="23" spans="1:9">
      <c r="A23" s="146" t="s">
        <v>30</v>
      </c>
      <c r="B23" s="157">
        <f>11522+288</f>
        <v>11810</v>
      </c>
      <c r="C23" s="175">
        <f t="shared" si="0"/>
        <v>0.13599410423527786</v>
      </c>
      <c r="D23" s="78">
        <f>B23/National!B23</f>
        <v>1.4861196924071993E-2</v>
      </c>
      <c r="E23" s="51"/>
      <c r="F23" s="9" t="s">
        <v>1</v>
      </c>
      <c r="G23" s="197">
        <f>SUM(G20:G22)</f>
        <v>104</v>
      </c>
      <c r="H23" s="132">
        <f>SUM(H20:H22)</f>
        <v>1</v>
      </c>
      <c r="I23" s="133">
        <f>+G23/National!G23</f>
        <v>2.7911220847534955E-3</v>
      </c>
    </row>
    <row r="24" spans="1:9">
      <c r="A24" s="146" t="s">
        <v>8</v>
      </c>
      <c r="B24" s="157">
        <f>67456+1092</f>
        <v>68548</v>
      </c>
      <c r="C24" s="175">
        <f t="shared" si="0"/>
        <v>0.78934156283825796</v>
      </c>
      <c r="D24" s="78">
        <f>B24/National!B24</f>
        <v>2.4575306241270224E-2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0</v>
      </c>
      <c r="C25" s="175">
        <f t="shared" si="0"/>
        <v>0</v>
      </c>
      <c r="D25" s="78">
        <f>B25/National!B25</f>
        <v>0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86842</v>
      </c>
      <c r="C26" s="176">
        <f>SUM(C20:C25)</f>
        <v>1</v>
      </c>
      <c r="D26" s="177">
        <f>B26/National!B26</f>
        <v>2.1480773863912388E-2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481308</v>
      </c>
      <c r="H27" s="87"/>
      <c r="I27" s="113">
        <f>+G27/National!G27</f>
        <v>3.4857388215307635E-3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470772</v>
      </c>
      <c r="H28" s="87"/>
      <c r="I28" s="114">
        <f>+G28/National!G28</f>
        <v>3.5401538307878178E-3</v>
      </c>
    </row>
    <row r="29" spans="1:9">
      <c r="A29" s="146" t="s">
        <v>91</v>
      </c>
      <c r="B29" s="149">
        <f>7167+217</f>
        <v>7384</v>
      </c>
      <c r="C29" s="174">
        <f>B29/B$34</f>
        <v>8.5027981852099213E-2</v>
      </c>
      <c r="D29" s="77">
        <f>B29/National!B29</f>
        <v>9.4699082891194809E-3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10067</f>
        <v>10067</v>
      </c>
      <c r="C30" s="175">
        <f t="shared" ref="C30:C33" si="2">B30/B$34</f>
        <v>0.11592317081596462</v>
      </c>
      <c r="D30" s="78">
        <f>B30/National!B30</f>
        <v>5.6301683513735106E-3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66145+1680</f>
        <v>67825</v>
      </c>
      <c r="C31" s="175">
        <f t="shared" si="2"/>
        <v>0.78101609820133111</v>
      </c>
      <c r="D31" s="78">
        <f>B31/National!B31</f>
        <v>5.2723018562855634E-2</v>
      </c>
      <c r="E31" s="51"/>
      <c r="F31" s="163" t="s">
        <v>16</v>
      </c>
      <c r="G31" s="168">
        <v>253326</v>
      </c>
      <c r="H31" s="92">
        <f>G31/G$38</f>
        <v>0.42829536328669848</v>
      </c>
      <c r="I31" s="112">
        <f>+G31/National!G31</f>
        <v>5.9970418892402993E-3</v>
      </c>
    </row>
    <row r="32" spans="1:9">
      <c r="A32" s="146" t="s">
        <v>94</v>
      </c>
      <c r="B32" s="157">
        <f>23</f>
        <v>23</v>
      </c>
      <c r="C32" s="175">
        <f t="shared" si="2"/>
        <v>2.6484880587734048E-4</v>
      </c>
      <c r="D32" s="78">
        <f>B32/National!B32</f>
        <v>4.0338846308995562E-4</v>
      </c>
      <c r="E32" s="51"/>
      <c r="F32" s="163" t="s">
        <v>17</v>
      </c>
      <c r="G32" s="169">
        <v>189486</v>
      </c>
      <c r="H32" s="106">
        <f t="shared" ref="H32:H37" si="3">G32/G$38</f>
        <v>0.32036180734604169</v>
      </c>
      <c r="I32" s="113">
        <f>+G32/National!G32</f>
        <v>3.045799788147768E-3</v>
      </c>
    </row>
    <row r="33" spans="1:9">
      <c r="A33" s="146" t="s">
        <v>95</v>
      </c>
      <c r="B33" s="150">
        <f>1543</f>
        <v>1543</v>
      </c>
      <c r="C33" s="175">
        <f t="shared" si="2"/>
        <v>1.7767900324727668E-2</v>
      </c>
      <c r="D33" s="78">
        <f>B33/National!B33</f>
        <v>1.1730985615667671E-2</v>
      </c>
      <c r="E33" s="51"/>
      <c r="F33" s="163" t="s">
        <v>18</v>
      </c>
      <c r="G33" s="169">
        <v>42824</v>
      </c>
      <c r="H33" s="106">
        <f t="shared" si="3"/>
        <v>7.2402045733124809E-2</v>
      </c>
      <c r="I33" s="113">
        <f>+G33/National!G33</f>
        <v>1.3480517262280203E-3</v>
      </c>
    </row>
    <row r="34" spans="1:9">
      <c r="A34" s="9" t="s">
        <v>1</v>
      </c>
      <c r="B34" s="154">
        <f>SUM(B29:B33)</f>
        <v>86842</v>
      </c>
      <c r="C34" s="176">
        <f>SUM(C29:C33)</f>
        <v>0.99999999999999989</v>
      </c>
      <c r="D34" s="180">
        <f>B34/National!B34</f>
        <v>2.1480826997740163E-2</v>
      </c>
      <c r="E34" s="51"/>
      <c r="F34" s="163" t="s">
        <v>19</v>
      </c>
      <c r="G34" s="169">
        <v>83553</v>
      </c>
      <c r="H34" s="106">
        <f t="shared" si="3"/>
        <v>0.14126209898981359</v>
      </c>
      <c r="I34" s="113">
        <f>+G34/National!G34</f>
        <v>9.7290903679525132E-3</v>
      </c>
    </row>
    <row r="35" spans="1:9">
      <c r="B35" s="49"/>
      <c r="C35" s="96"/>
      <c r="D35" s="96"/>
      <c r="E35" s="51"/>
      <c r="F35" s="163" t="s">
        <v>20</v>
      </c>
      <c r="G35" s="169">
        <v>2318</v>
      </c>
      <c r="H35" s="106">
        <f t="shared" si="3"/>
        <v>3.919016019273849E-3</v>
      </c>
      <c r="I35" s="113">
        <f>+G35/National!G35</f>
        <v>1.7386664338443796E-4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5525</v>
      </c>
      <c r="H36" s="106">
        <f t="shared" si="3"/>
        <v>9.3410541443002659E-3</v>
      </c>
      <c r="I36" s="113">
        <f>+G36/National!G36</f>
        <v>3.4922886158786554E-4</v>
      </c>
    </row>
    <row r="37" spans="1:9">
      <c r="A37" s="146" t="s">
        <v>5</v>
      </c>
      <c r="B37" s="149">
        <f>2077+220</f>
        <v>2297</v>
      </c>
      <c r="C37" s="174">
        <f>B37/B$43</f>
        <v>1.3054103205273926E-2</v>
      </c>
      <c r="D37" s="77">
        <f>B37/National!B37</f>
        <v>1.0754349495289998E-2</v>
      </c>
      <c r="E37" s="51"/>
      <c r="F37" s="163" t="s">
        <v>22</v>
      </c>
      <c r="G37" s="170">
        <v>14443</v>
      </c>
      <c r="H37" s="106">
        <f t="shared" si="3"/>
        <v>2.4418614480747284E-2</v>
      </c>
      <c r="I37" s="114">
        <f>+G37/National!G37</f>
        <v>5.6294457391082621E-4</v>
      </c>
    </row>
    <row r="38" spans="1:9">
      <c r="A38" s="146" t="s">
        <v>7</v>
      </c>
      <c r="B38" s="157">
        <f>6722+539</f>
        <v>7261</v>
      </c>
      <c r="C38" s="175">
        <f t="shared" ref="C38:C42" si="4">B38/B$43</f>
        <v>4.1265060240963852E-2</v>
      </c>
      <c r="D38" s="78">
        <f>B38/National!B38</f>
        <v>1.5205709522991804E-2</v>
      </c>
      <c r="E38" s="51"/>
      <c r="F38" s="47" t="s">
        <v>1</v>
      </c>
      <c r="G38" s="187">
        <f>SUM(G31:G37)</f>
        <v>591475</v>
      </c>
      <c r="H38" s="188">
        <f>SUM(H31:H37)</f>
        <v>1</v>
      </c>
      <c r="I38" s="188">
        <f>+G38/National!G39</f>
        <v>2.9385708354454634E-3</v>
      </c>
    </row>
    <row r="39" spans="1:9">
      <c r="A39" s="146" t="s">
        <v>6</v>
      </c>
      <c r="B39" s="157">
        <f>5031+658</f>
        <v>5689</v>
      </c>
      <c r="C39" s="175">
        <f t="shared" si="4"/>
        <v>3.2331211639008865E-2</v>
      </c>
      <c r="D39" s="78">
        <f>B39/National!B39</f>
        <v>1.0293385925074863E-2</v>
      </c>
      <c r="E39" s="51"/>
      <c r="H39" s="87"/>
      <c r="I39" s="87"/>
    </row>
    <row r="40" spans="1:9" ht="23.25">
      <c r="A40" s="146" t="s">
        <v>30</v>
      </c>
      <c r="B40" s="157">
        <f>23040+576</f>
        <v>23616</v>
      </c>
      <c r="C40" s="175">
        <f t="shared" si="4"/>
        <v>0.13421232098204136</v>
      </c>
      <c r="D40" s="78">
        <f>B40/National!B40</f>
        <v>1.4679318794078048E-2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2185+134912</f>
        <v>137097</v>
      </c>
      <c r="C41" s="175">
        <f t="shared" si="4"/>
        <v>0.77913730393271197</v>
      </c>
      <c r="D41" s="78">
        <f>B41/National!B41</f>
        <v>2.4575503118701381E-2</v>
      </c>
      <c r="E41" s="51"/>
      <c r="F41" s="163" t="s">
        <v>38</v>
      </c>
      <c r="G41" s="168">
        <v>400650</v>
      </c>
      <c r="H41" s="189">
        <f>G41/G$47</f>
        <v>0.70477909357650981</v>
      </c>
      <c r="I41" s="113">
        <f>+G41/National!G42</f>
        <v>4.4178980213506703E-3</v>
      </c>
    </row>
    <row r="42" spans="1:9">
      <c r="A42" s="156" t="s">
        <v>29</v>
      </c>
      <c r="B42" s="150">
        <v>0</v>
      </c>
      <c r="C42" s="175">
        <f t="shared" si="4"/>
        <v>0</v>
      </c>
      <c r="D42" s="78">
        <f>B42/National!B42</f>
        <v>0</v>
      </c>
      <c r="E42" s="51"/>
      <c r="F42" s="163" t="s">
        <v>39</v>
      </c>
      <c r="G42" s="169">
        <v>102140</v>
      </c>
      <c r="H42" s="86">
        <f t="shared" ref="H42:H46" si="5">G42/G$47</f>
        <v>0.17967337231475031</v>
      </c>
      <c r="I42" s="113">
        <f>+G42/National!G43</f>
        <v>2.2934432066422641E-3</v>
      </c>
    </row>
    <row r="43" spans="1:9">
      <c r="A43" s="9" t="s">
        <v>1</v>
      </c>
      <c r="B43" s="154">
        <f>SUM(B37:B42)</f>
        <v>175960</v>
      </c>
      <c r="C43" s="178">
        <f>SUM(C37:C42)</f>
        <v>1</v>
      </c>
      <c r="D43" s="179">
        <f>B43/National!B43</f>
        <v>2.0740292662549804E-2</v>
      </c>
      <c r="E43" s="51"/>
      <c r="F43" s="163" t="s">
        <v>40</v>
      </c>
      <c r="G43" s="169">
        <v>20836</v>
      </c>
      <c r="H43" s="86">
        <f t="shared" si="5"/>
        <v>3.6652382862249241E-2</v>
      </c>
      <c r="I43" s="113">
        <f>+G43/National!G44</f>
        <v>1.5904159804900017E-3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25446</v>
      </c>
      <c r="H44" s="86">
        <f t="shared" si="5"/>
        <v>4.4761784138644373E-2</v>
      </c>
      <c r="I44" s="113">
        <f>+G44/National!G45</f>
        <v>1.7283737623543811E-3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4631</v>
      </c>
      <c r="H45" s="86">
        <f t="shared" si="5"/>
        <v>8.146342149888474E-3</v>
      </c>
      <c r="I45" s="113">
        <f>+G45/National!G46</f>
        <v>5.5668718832098884E-4</v>
      </c>
    </row>
    <row r="46" spans="1:9">
      <c r="A46" s="8" t="s">
        <v>3</v>
      </c>
      <c r="B46" s="52">
        <v>5613</v>
      </c>
      <c r="C46" s="93">
        <f>B46/B$48</f>
        <v>0.7177749360613811</v>
      </c>
      <c r="D46" s="77">
        <f>B46/National!B48</f>
        <v>5.6673041079624963E-3</v>
      </c>
      <c r="E46" s="51"/>
      <c r="F46" s="163" t="s">
        <v>43</v>
      </c>
      <c r="G46" s="170">
        <v>14773</v>
      </c>
      <c r="H46" s="86">
        <f t="shared" si="5"/>
        <v>2.5987024957957766E-2</v>
      </c>
      <c r="I46" s="113">
        <f>+G46/National!G47</f>
        <v>1.8545012988287883E-3</v>
      </c>
    </row>
    <row r="47" spans="1:9">
      <c r="A47" s="8" t="s">
        <v>2</v>
      </c>
      <c r="B47" s="52">
        <v>2207</v>
      </c>
      <c r="C47" s="97">
        <f>B47/B$48</f>
        <v>0.2822250639386189</v>
      </c>
      <c r="D47" s="78">
        <f>B47/National!B49</f>
        <v>1.1129090899005642E-3</v>
      </c>
      <c r="E47" s="51"/>
      <c r="F47" s="9" t="s">
        <v>1</v>
      </c>
      <c r="G47" s="191">
        <f>SUM(G41:G46)</f>
        <v>568476</v>
      </c>
      <c r="H47" s="182">
        <f>SUM(H41:H46)</f>
        <v>1</v>
      </c>
      <c r="I47" s="188">
        <f>+G47/National!G49</f>
        <v>3.1334908232963322E-3</v>
      </c>
    </row>
    <row r="48" spans="1:9">
      <c r="A48" s="9" t="s">
        <v>1</v>
      </c>
      <c r="B48" s="155">
        <f>SUM(B46:B47)</f>
        <v>7820</v>
      </c>
      <c r="C48" s="165">
        <f>SUM(C46:C47)</f>
        <v>1</v>
      </c>
      <c r="D48" s="177">
        <f>B48/National!B50</f>
        <v>2.6298894672926836E-3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98218</v>
      </c>
      <c r="H50" s="189">
        <f>G50/G$52</f>
        <v>0.8706420473180807</v>
      </c>
      <c r="I50" s="113">
        <f>+G50/National!G52</f>
        <v>3.1337800353024863E-3</v>
      </c>
    </row>
    <row r="51" spans="1:9">
      <c r="A51" s="146" t="s">
        <v>5</v>
      </c>
      <c r="B51" s="149">
        <f>1394+374</f>
        <v>1768</v>
      </c>
      <c r="C51" s="174">
        <f>B51/B$57</f>
        <v>0.22608695652173913</v>
      </c>
      <c r="D51" s="77">
        <f>B51/National!B53</f>
        <v>2.457668467752137E-3</v>
      </c>
      <c r="E51" s="51"/>
      <c r="F51" s="163" t="s">
        <v>97</v>
      </c>
      <c r="G51" s="194">
        <v>14593</v>
      </c>
      <c r="H51" s="86">
        <f>G51/G$52</f>
        <v>0.12935795268191932</v>
      </c>
      <c r="I51" s="113">
        <f>+G51/National!G53</f>
        <v>2.8938110359042371E-3</v>
      </c>
    </row>
    <row r="52" spans="1:9">
      <c r="A52" s="146" t="s">
        <v>7</v>
      </c>
      <c r="B52" s="157">
        <f>1651+659</f>
        <v>2310</v>
      </c>
      <c r="C52" s="175">
        <f t="shared" ref="C52:C56" si="6">B52/B$57</f>
        <v>0.29539641943734013</v>
      </c>
      <c r="D52" s="78">
        <f>B52/National!B54</f>
        <v>3.3729176613853493E-3</v>
      </c>
      <c r="E52" s="51"/>
      <c r="F52" s="60" t="s">
        <v>1</v>
      </c>
      <c r="G52" s="190">
        <f>SUM(G50:G51)</f>
        <v>112811</v>
      </c>
      <c r="H52" s="185">
        <f>SUM(H50:H51)</f>
        <v>1</v>
      </c>
      <c r="I52" s="192">
        <f>+G52/National!G54</f>
        <v>3.1005207624899295E-3</v>
      </c>
    </row>
    <row r="53" spans="1:9">
      <c r="A53" s="146" t="s">
        <v>6</v>
      </c>
      <c r="B53" s="157">
        <f>662+537</f>
        <v>1199</v>
      </c>
      <c r="C53" s="175">
        <f t="shared" si="6"/>
        <v>0.15332480818414324</v>
      </c>
      <c r="D53" s="78">
        <f>B53/National!B55</f>
        <v>2.266506366633397E-3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1019+247</f>
        <v>1266</v>
      </c>
      <c r="C54" s="175">
        <f t="shared" si="6"/>
        <v>0.1618925831202046</v>
      </c>
      <c r="D54" s="78">
        <f>B54/National!B56</f>
        <v>3.039272879170898E-3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887+390</f>
        <v>1277</v>
      </c>
      <c r="C55" s="175">
        <f t="shared" si="6"/>
        <v>0.1632992327365729</v>
      </c>
      <c r="D55" s="78">
        <f>B55/National!B57</f>
        <v>3.1838875840850501E-3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/>
      <c r="C56" s="175">
        <f t="shared" si="6"/>
        <v>0</v>
      </c>
      <c r="D56" s="78">
        <f>B56/National!B58</f>
        <v>0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7820</v>
      </c>
      <c r="C57" s="178">
        <f>SUM(C51:C56)</f>
        <v>1</v>
      </c>
      <c r="D57" s="177">
        <f>B57/National!B59</f>
        <v>2.6298894672926836E-3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75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11485910</v>
      </c>
      <c r="C4" s="99"/>
      <c r="D4" s="77">
        <f>B4/National!B4</f>
        <v>3.7775177352986085E-2</v>
      </c>
      <c r="E4" s="1"/>
      <c r="F4" s="146" t="s">
        <v>10</v>
      </c>
      <c r="G4" s="195">
        <v>3847505</v>
      </c>
      <c r="H4" s="189">
        <f>G4/G$6</f>
        <v>0.48321734039028585</v>
      </c>
      <c r="I4" s="112">
        <f>+G4/National!G4</f>
        <v>3.7131569656678527E-2</v>
      </c>
    </row>
    <row r="5" spans="1:9">
      <c r="A5" s="8" t="s">
        <v>167</v>
      </c>
      <c r="B5" s="50">
        <f>35377+5571</f>
        <v>40948</v>
      </c>
      <c r="C5" s="100"/>
      <c r="D5" s="79">
        <f>B5/National!B5</f>
        <v>1.1575599423425013E-2</v>
      </c>
      <c r="E5" s="1"/>
      <c r="F5" s="146" t="s">
        <v>11</v>
      </c>
      <c r="G5" s="196">
        <v>4114761</v>
      </c>
      <c r="H5" s="86">
        <f>G5/G$6</f>
        <v>0.51678265960971415</v>
      </c>
      <c r="I5" s="113">
        <f>+G5/National!G5</f>
        <v>3.9299571617429085E-2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7962266</v>
      </c>
      <c r="H6" s="182">
        <f>SUM(H4:H5)</f>
        <v>1</v>
      </c>
      <c r="I6" s="183">
        <f>+G6/National!G6</f>
        <v>3.8221212697058221E-2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5076320</v>
      </c>
      <c r="C8" s="174">
        <f>B8/B10</f>
        <v>0.77024995432808885</v>
      </c>
      <c r="D8" s="77">
        <f>B8/National!B8</f>
        <v>3.7160265878850365E-2</v>
      </c>
      <c r="E8" s="1"/>
      <c r="F8" s="146" t="s">
        <v>32</v>
      </c>
      <c r="G8" s="206">
        <f>28/100</f>
        <v>0.28000000000000003</v>
      </c>
      <c r="H8" s="87"/>
      <c r="I8" s="87"/>
    </row>
    <row r="9" spans="1:9">
      <c r="A9" s="146" t="s">
        <v>169</v>
      </c>
      <c r="B9" s="150">
        <v>1514164</v>
      </c>
      <c r="C9" s="175">
        <f>B9/B10</f>
        <v>0.22975004567191121</v>
      </c>
      <c r="D9" s="78">
        <f>B9/National!B9</f>
        <v>3.9267313940095618E-2</v>
      </c>
      <c r="E9" s="1"/>
      <c r="F9" s="146" t="s">
        <v>31</v>
      </c>
      <c r="G9" s="207">
        <f>28/100</f>
        <v>0.28000000000000003</v>
      </c>
      <c r="H9" s="87"/>
      <c r="I9" s="87"/>
    </row>
    <row r="10" spans="1:9">
      <c r="A10" s="9" t="s">
        <v>9</v>
      </c>
      <c r="B10" s="152">
        <f>SUM(B8:B9)</f>
        <v>6590484</v>
      </c>
      <c r="C10" s="176">
        <f>SUM(C8:C9)</f>
        <v>1</v>
      </c>
      <c r="D10" s="165"/>
      <c r="E10" s="1"/>
      <c r="F10" s="146" t="s">
        <v>33</v>
      </c>
      <c r="G10" s="205">
        <f>28/100</f>
        <v>0.28000000000000003</v>
      </c>
      <c r="H10" s="87"/>
      <c r="I10" s="87"/>
    </row>
    <row r="11" spans="1:9">
      <c r="A11" s="146" t="s">
        <v>170</v>
      </c>
      <c r="B11" s="149">
        <v>128716</v>
      </c>
      <c r="C11" s="93">
        <f>B11/(B12+B11)</f>
        <v>2.5624838869262874E-2</v>
      </c>
      <c r="D11" s="77">
        <f>B11/National!B11</f>
        <v>3.4129537179336249E-2</v>
      </c>
      <c r="E11" s="1"/>
      <c r="G11" s="49"/>
      <c r="H11" s="87"/>
      <c r="I11" s="86"/>
    </row>
    <row r="12" spans="1:9" ht="23.25">
      <c r="A12" s="146" t="s">
        <v>171</v>
      </c>
      <c r="B12" s="150">
        <v>4894379</v>
      </c>
      <c r="C12" s="95">
        <f>B12/(B11+B12)</f>
        <v>0.97437516113073708</v>
      </c>
      <c r="D12" s="79">
        <f>B12/National!B12</f>
        <v>3.7021165768411919E-2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6413063</v>
      </c>
      <c r="H13" s="189">
        <f>G13/G$18</f>
        <v>0.5674209436348524</v>
      </c>
      <c r="I13" s="92">
        <f>+G13/National!G13</f>
        <v>4.6783413663524551E-2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4472494</v>
      </c>
      <c r="H14" s="86">
        <f>G14/G$18</f>
        <v>0.39572147753440373</v>
      </c>
      <c r="I14" s="106">
        <f>+G14/National!G14</f>
        <v>4.0569934828677677E-2</v>
      </c>
    </row>
    <row r="15" spans="1:9">
      <c r="A15" s="146" t="s">
        <v>3</v>
      </c>
      <c r="B15" s="149">
        <v>78260</v>
      </c>
      <c r="C15" s="174">
        <f>B15/B$17</f>
        <v>0.63639986013189886</v>
      </c>
      <c r="D15" s="77">
        <f>B15/National!B15</f>
        <v>2.6286196421637844E-2</v>
      </c>
      <c r="E15" s="3"/>
      <c r="F15" s="146" t="s">
        <v>13</v>
      </c>
      <c r="G15" s="150">
        <v>47612</v>
      </c>
      <c r="H15" s="86">
        <f>G15/G$18</f>
        <v>4.2126587511057655E-3</v>
      </c>
      <c r="I15" s="106">
        <f>+G15/National!G15</f>
        <v>5.6458612986002743E-2</v>
      </c>
    </row>
    <row r="16" spans="1:9">
      <c r="A16" s="146" t="s">
        <v>2</v>
      </c>
      <c r="B16" s="150">
        <v>44713</v>
      </c>
      <c r="C16" s="175">
        <f>B16/B$17</f>
        <v>0.36360013986810114</v>
      </c>
      <c r="D16" s="78">
        <f>B16/National!B16</f>
        <v>4.1962760665953412E-2</v>
      </c>
      <c r="E16" s="1"/>
      <c r="F16" s="9" t="s">
        <v>1</v>
      </c>
      <c r="G16" s="162">
        <v>10933169</v>
      </c>
      <c r="H16" s="105"/>
      <c r="I16" s="106"/>
    </row>
    <row r="17" spans="1:9">
      <c r="A17" s="9" t="s">
        <v>1</v>
      </c>
      <c r="B17" s="154">
        <f>SUM(B15:B16)</f>
        <v>122973</v>
      </c>
      <c r="C17" s="176">
        <f>SUM(C15:C16)</f>
        <v>1</v>
      </c>
      <c r="D17" s="177">
        <f>B17/National!B17</f>
        <v>3.0418020524551496E-2</v>
      </c>
      <c r="E17" s="1"/>
      <c r="F17" s="108" t="s">
        <v>35</v>
      </c>
      <c r="G17" s="117">
        <v>368957</v>
      </c>
      <c r="H17" s="105">
        <f>G17/G$18</f>
        <v>3.2644920079638116E-2</v>
      </c>
      <c r="I17" s="106">
        <f>+G17/National!G17</f>
        <v>4.7876302283381848E-2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11302126</v>
      </c>
      <c r="H18" s="185">
        <f>SUM(H13:H17)</f>
        <v>1</v>
      </c>
      <c r="I18" s="186">
        <f>+G18/National!G18</f>
        <v>4.4171152953742722E-2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724+850</f>
        <v>1574</v>
      </c>
      <c r="C20" s="174">
        <f>B20/B$26</f>
        <v>1.279955762647085E-2</v>
      </c>
      <c r="D20" s="77">
        <f>B20/National!B20</f>
        <v>3.3667729032534066E-2</v>
      </c>
      <c r="E20" s="51"/>
      <c r="F20" s="163" t="s">
        <v>3</v>
      </c>
      <c r="G20" s="108">
        <f>514+246</f>
        <v>760</v>
      </c>
      <c r="H20" s="189">
        <f>G20/G$23</f>
        <v>0.6386554621848739</v>
      </c>
      <c r="I20" s="92">
        <f>+G20/National!G20</f>
        <v>3.6526169077714228E-2</v>
      </c>
    </row>
    <row r="21" spans="1:9">
      <c r="A21" s="146" t="s">
        <v>7</v>
      </c>
      <c r="B21" s="157">
        <f>1968+2421</f>
        <v>4389</v>
      </c>
      <c r="C21" s="175">
        <f t="shared" ref="C21:C25" si="0">B21/B$26</f>
        <v>3.5690761386645849E-2</v>
      </c>
      <c r="D21" s="78">
        <f>B21/National!B21</f>
        <v>2.7516206286910837E-2</v>
      </c>
      <c r="E21" s="51"/>
      <c r="F21" s="163" t="s">
        <v>2</v>
      </c>
      <c r="G21" s="198">
        <f>359+69</f>
        <v>428</v>
      </c>
      <c r="H21" s="86">
        <f t="shared" ref="H21:H22" si="1">G21/G$23</f>
        <v>0.35966386554621849</v>
      </c>
      <c r="I21" s="106">
        <f>+G21/National!G21</f>
        <v>2.6823765354725495E-2</v>
      </c>
    </row>
    <row r="22" spans="1:9">
      <c r="A22" s="146" t="s">
        <v>6</v>
      </c>
      <c r="B22" s="157">
        <f>2656+3913</f>
        <v>6569</v>
      </c>
      <c r="C22" s="175">
        <f t="shared" si="0"/>
        <v>5.3418230017971427E-2</v>
      </c>
      <c r="D22" s="78">
        <f>B22/National!B22</f>
        <v>2.7235224610792096E-2</v>
      </c>
      <c r="E22" s="51"/>
      <c r="F22" s="163" t="s">
        <v>28</v>
      </c>
      <c r="G22" s="181">
        <v>2</v>
      </c>
      <c r="H22" s="86">
        <f t="shared" si="1"/>
        <v>1.6806722689075631E-3</v>
      </c>
      <c r="I22" s="106">
        <f>+G22/National!G22</f>
        <v>4.0160642570281121E-3</v>
      </c>
    </row>
    <row r="23" spans="1:9">
      <c r="A23" s="146" t="s">
        <v>30</v>
      </c>
      <c r="B23" s="157">
        <f>11334+6628+4675</f>
        <v>22637</v>
      </c>
      <c r="C23" s="175">
        <f t="shared" si="0"/>
        <v>0.18408105844372341</v>
      </c>
      <c r="D23" s="78">
        <f>B23/National!B23</f>
        <v>2.8485428854379144E-2</v>
      </c>
      <c r="E23" s="51"/>
      <c r="F23" s="9" t="s">
        <v>1</v>
      </c>
      <c r="G23" s="197">
        <f>SUM(G20:G22)</f>
        <v>1190</v>
      </c>
      <c r="H23" s="132">
        <f>SUM(H20:H22)</f>
        <v>1</v>
      </c>
      <c r="I23" s="133">
        <f>+G23/National!G23</f>
        <v>3.1936877700544805E-2</v>
      </c>
    </row>
    <row r="24" spans="1:9">
      <c r="A24" s="146" t="s">
        <v>8</v>
      </c>
      <c r="B24" s="157">
        <f>54950+32371</f>
        <v>87321</v>
      </c>
      <c r="C24" s="175">
        <f t="shared" si="0"/>
        <v>0.71008270108072502</v>
      </c>
      <c r="D24" s="78">
        <f>B24/National!B24</f>
        <v>3.1305659046127636E-2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483</v>
      </c>
      <c r="C25" s="175">
        <f t="shared" si="0"/>
        <v>3.9276914444634188E-3</v>
      </c>
      <c r="D25" s="78">
        <f>B25/National!B25</f>
        <v>4.2611380679311868E-2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122973</v>
      </c>
      <c r="C26" s="176">
        <f>SUM(C20:C25)</f>
        <v>0.99999999999999989</v>
      </c>
      <c r="D26" s="177">
        <f>B26/National!B26</f>
        <v>3.0417945284158567E-2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4543735</v>
      </c>
      <c r="H27" s="87"/>
      <c r="I27" s="113">
        <f>+G27/National!G27</f>
        <v>3.2906732246810948E-2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4630845</v>
      </c>
      <c r="H28" s="87"/>
      <c r="I28" s="114">
        <f>+G28/National!G28</f>
        <v>3.4823446735435866E-2</v>
      </c>
    </row>
    <row r="29" spans="1:9">
      <c r="A29" s="146" t="s">
        <v>91</v>
      </c>
      <c r="B29" s="149">
        <f>14253+5005</f>
        <v>19258</v>
      </c>
      <c r="C29" s="174">
        <f>B29/B$34</f>
        <v>0.15660348206516878</v>
      </c>
      <c r="D29" s="77">
        <f>B29/National!B29</f>
        <v>2.4698197972895849E-2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25717+3270</f>
        <v>28987</v>
      </c>
      <c r="C30" s="175">
        <f t="shared" ref="C30:C33" si="2">B30/B$34</f>
        <v>0.23571840973221764</v>
      </c>
      <c r="D30" s="78">
        <f>B30/National!B30</f>
        <v>1.6211551604377067E-2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36722+36321</f>
        <v>73043</v>
      </c>
      <c r="C31" s="175">
        <f t="shared" si="2"/>
        <v>0.59397591341188716</v>
      </c>
      <c r="D31" s="78">
        <f>B31/National!B31</f>
        <v>5.6779173533161281E-2</v>
      </c>
      <c r="E31" s="51"/>
      <c r="F31" s="163" t="s">
        <v>16</v>
      </c>
      <c r="G31" s="168">
        <v>1484109</v>
      </c>
      <c r="H31" s="92">
        <f>G31/G$38</f>
        <v>0.26092774449806394</v>
      </c>
      <c r="I31" s="112">
        <f>+G31/National!G31</f>
        <v>3.5133637452130974E-2</v>
      </c>
    </row>
    <row r="32" spans="1:9">
      <c r="A32" s="146" t="s">
        <v>94</v>
      </c>
      <c r="B32" s="157">
        <f>1063+73</f>
        <v>1136</v>
      </c>
      <c r="C32" s="175">
        <f t="shared" si="2"/>
        <v>9.237800167516446E-3</v>
      </c>
      <c r="D32" s="78">
        <f>B32/National!B32</f>
        <v>1.992388235087781E-2</v>
      </c>
      <c r="E32" s="51"/>
      <c r="F32" s="163" t="s">
        <v>17</v>
      </c>
      <c r="G32" s="169">
        <v>2801300</v>
      </c>
      <c r="H32" s="106">
        <f t="shared" ref="H32:H37" si="3">G32/G$38</f>
        <v>0.49250889972530759</v>
      </c>
      <c r="I32" s="113">
        <f>+G32/National!G32</f>
        <v>4.5028123167613135E-2</v>
      </c>
    </row>
    <row r="33" spans="1:9">
      <c r="A33" s="146" t="s">
        <v>95</v>
      </c>
      <c r="B33" s="150">
        <f>505+44</f>
        <v>549</v>
      </c>
      <c r="C33" s="175">
        <f t="shared" si="2"/>
        <v>4.4643946232099732E-3</v>
      </c>
      <c r="D33" s="78">
        <f>B33/National!B33</f>
        <v>4.1738892436821457E-3</v>
      </c>
      <c r="E33" s="51"/>
      <c r="F33" s="163" t="s">
        <v>18</v>
      </c>
      <c r="G33" s="169">
        <v>355902</v>
      </c>
      <c r="H33" s="106">
        <f t="shared" si="3"/>
        <v>6.25726992575006E-2</v>
      </c>
      <c r="I33" s="113">
        <f>+G33/National!G33</f>
        <v>1.1203397755184124E-2</v>
      </c>
    </row>
    <row r="34" spans="1:9">
      <c r="A34" s="9" t="s">
        <v>1</v>
      </c>
      <c r="B34" s="154">
        <f>SUM(B29:B33)</f>
        <v>122973</v>
      </c>
      <c r="C34" s="176">
        <f>SUM(C29:C33)</f>
        <v>1</v>
      </c>
      <c r="D34" s="180">
        <f>B34/National!B34</f>
        <v>3.0418020524551496E-2</v>
      </c>
      <c r="E34" s="51"/>
      <c r="F34" s="163" t="s">
        <v>19</v>
      </c>
      <c r="G34" s="169">
        <v>161058</v>
      </c>
      <c r="H34" s="106">
        <f t="shared" si="3"/>
        <v>2.8316316842879587E-2</v>
      </c>
      <c r="I34" s="113">
        <f>+G34/National!G34</f>
        <v>1.8753938655484494E-2</v>
      </c>
    </row>
    <row r="35" spans="1:9">
      <c r="B35" s="49"/>
      <c r="C35" s="96"/>
      <c r="D35" s="96"/>
      <c r="E35" s="51"/>
      <c r="F35" s="163" t="s">
        <v>20</v>
      </c>
      <c r="G35" s="169">
        <v>220223</v>
      </c>
      <c r="H35" s="106">
        <f t="shared" si="3"/>
        <v>3.8718376262523259E-2</v>
      </c>
      <c r="I35" s="113">
        <f>+G35/National!G35</f>
        <v>1.6518306214862416E-2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114890</v>
      </c>
      <c r="H36" s="106">
        <f t="shared" si="3"/>
        <v>2.0199317277492801E-2</v>
      </c>
      <c r="I36" s="113">
        <f>+G36/National!G36</f>
        <v>7.2620640557158143E-3</v>
      </c>
    </row>
    <row r="37" spans="1:9">
      <c r="A37" s="146" t="s">
        <v>5</v>
      </c>
      <c r="B37" s="149">
        <f>3266+4701</f>
        <v>7967</v>
      </c>
      <c r="C37" s="174">
        <f>B37/B$43</f>
        <v>3.044872407348664E-2</v>
      </c>
      <c r="D37" s="77">
        <f>B37/National!B37</f>
        <v>3.7300784688278368E-2</v>
      </c>
      <c r="E37" s="51"/>
      <c r="F37" s="163" t="s">
        <v>22</v>
      </c>
      <c r="G37" s="170">
        <v>550334</v>
      </c>
      <c r="H37" s="106">
        <f t="shared" si="3"/>
        <v>9.6756646136232249E-2</v>
      </c>
      <c r="I37" s="114">
        <f>+G37/National!G37</f>
        <v>2.1450359283988134E-2</v>
      </c>
    </row>
    <row r="38" spans="1:9">
      <c r="A38" s="146" t="s">
        <v>7</v>
      </c>
      <c r="B38" s="157">
        <f>5855+7829</f>
        <v>13684</v>
      </c>
      <c r="C38" s="175">
        <f t="shared" ref="C38:C42" si="4">B38/B$43</f>
        <v>5.2298272903425529E-2</v>
      </c>
      <c r="D38" s="78">
        <f>B38/National!B38</f>
        <v>2.865651137758158E-2</v>
      </c>
      <c r="E38" s="51"/>
      <c r="F38" s="47" t="s">
        <v>1</v>
      </c>
      <c r="G38" s="187">
        <f>SUM(G31:G37)</f>
        <v>5687816</v>
      </c>
      <c r="H38" s="188">
        <f>SUM(H31:H37)</f>
        <v>1</v>
      </c>
      <c r="I38" s="188">
        <f>+G38/National!G39</f>
        <v>2.8258253036865588E-2</v>
      </c>
    </row>
    <row r="39" spans="1:9">
      <c r="A39" s="146" t="s">
        <v>6</v>
      </c>
      <c r="B39" s="157">
        <f>5469+10674</f>
        <v>16143</v>
      </c>
      <c r="C39" s="175">
        <f t="shared" si="4"/>
        <v>6.1696215980707271E-2</v>
      </c>
      <c r="D39" s="78">
        <f>B39/National!B39</f>
        <v>2.920831938626885E-2</v>
      </c>
      <c r="E39" s="51"/>
      <c r="H39" s="87"/>
      <c r="I39" s="87"/>
    </row>
    <row r="40" spans="1:9" ht="23.25">
      <c r="A40" s="146" t="s">
        <v>30</v>
      </c>
      <c r="B40" s="157">
        <f>22954+13255+10983</f>
        <v>47192</v>
      </c>
      <c r="C40" s="175">
        <f t="shared" si="4"/>
        <v>0.18036101248600245</v>
      </c>
      <c r="D40" s="78">
        <f>B40/National!B40</f>
        <v>2.933377424331518E-2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64742+109900</f>
        <v>174642</v>
      </c>
      <c r="C41" s="175">
        <f t="shared" si="4"/>
        <v>0.6674565168371851</v>
      </c>
      <c r="D41" s="78">
        <f>B41/National!B41</f>
        <v>3.1305681493076047E-2</v>
      </c>
      <c r="E41" s="51"/>
      <c r="F41" s="163" t="s">
        <v>38</v>
      </c>
      <c r="G41" s="168">
        <v>2754261</v>
      </c>
      <c r="H41" s="189">
        <f>G41/G$47</f>
        <v>0.51325082840971048</v>
      </c>
      <c r="I41" s="113">
        <f>+G41/National!G42</f>
        <v>3.0370758073588716E-2</v>
      </c>
    </row>
    <row r="42" spans="1:9">
      <c r="A42" s="156" t="s">
        <v>29</v>
      </c>
      <c r="B42" s="150">
        <v>2025</v>
      </c>
      <c r="C42" s="175">
        <f t="shared" si="4"/>
        <v>7.7392577191929771E-3</v>
      </c>
      <c r="D42" s="78">
        <f>B42/National!B42</f>
        <v>3.8366805608184916E-2</v>
      </c>
      <c r="E42" s="51"/>
      <c r="F42" s="163" t="s">
        <v>39</v>
      </c>
      <c r="G42" s="169">
        <v>1289353</v>
      </c>
      <c r="H42" s="86">
        <f t="shared" ref="H42:H46" si="5">G42/G$47</f>
        <v>0.24026825902212806</v>
      </c>
      <c r="I42" s="113">
        <f>+G42/National!G43</f>
        <v>2.8951026814311956E-2</v>
      </c>
    </row>
    <row r="43" spans="1:9">
      <c r="A43" s="9" t="s">
        <v>1</v>
      </c>
      <c r="B43" s="154">
        <f>SUM(B37:B42)</f>
        <v>261653</v>
      </c>
      <c r="C43" s="178">
        <f>SUM(C37:C42)</f>
        <v>0.99999999999999989</v>
      </c>
      <c r="D43" s="179">
        <f>B43/National!B43</f>
        <v>3.084087176650457E-2</v>
      </c>
      <c r="E43" s="51"/>
      <c r="F43" s="163" t="s">
        <v>40</v>
      </c>
      <c r="G43" s="169">
        <v>366309</v>
      </c>
      <c r="H43" s="86">
        <f t="shared" si="5"/>
        <v>6.8260922876928753E-2</v>
      </c>
      <c r="I43" s="113">
        <f>+G43/National!G44</f>
        <v>2.7960438058999424E-2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532527</v>
      </c>
      <c r="H44" s="86">
        <f t="shared" si="5"/>
        <v>9.9235302645805143E-2</v>
      </c>
      <c r="I44" s="113">
        <f>+G44/National!G45</f>
        <v>3.6170938243546787E-2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109872</v>
      </c>
      <c r="H45" s="86">
        <f t="shared" si="5"/>
        <v>2.0474419460984893E-2</v>
      </c>
      <c r="I45" s="113">
        <f>+G45/National!G46</f>
        <v>1.3207586861413019E-2</v>
      </c>
    </row>
    <row r="46" spans="1:9">
      <c r="A46" s="8" t="s">
        <v>3</v>
      </c>
      <c r="B46" s="52">
        <v>35406</v>
      </c>
      <c r="C46" s="93">
        <f>B46/B$48</f>
        <v>0.32691917046776608</v>
      </c>
      <c r="D46" s="77">
        <f>B46/National!B48</f>
        <v>3.5748542534566212E-2</v>
      </c>
      <c r="E46" s="51"/>
      <c r="F46" s="163" t="s">
        <v>43</v>
      </c>
      <c r="G46" s="170">
        <v>313984</v>
      </c>
      <c r="H46" s="86">
        <f t="shared" si="5"/>
        <v>5.8510267584442631E-2</v>
      </c>
      <c r="I46" s="113">
        <f>+G46/National!G47</f>
        <v>3.9415402139813052E-2</v>
      </c>
    </row>
    <row r="47" spans="1:9">
      <c r="A47" s="8" t="s">
        <v>2</v>
      </c>
      <c r="B47" s="52">
        <v>72896</v>
      </c>
      <c r="C47" s="97">
        <f>B47/B$48</f>
        <v>0.67308082953223392</v>
      </c>
      <c r="D47" s="78">
        <f>B47/National!B49</f>
        <v>3.6758777080829877E-2</v>
      </c>
      <c r="E47" s="51"/>
      <c r="F47" s="9" t="s">
        <v>1</v>
      </c>
      <c r="G47" s="191">
        <f>SUM(G41:G46)</f>
        <v>5366306</v>
      </c>
      <c r="H47" s="182">
        <f>SUM(H41:H46)</f>
        <v>1</v>
      </c>
      <c r="I47" s="188">
        <f>+G47/National!G49</f>
        <v>2.9579561152977517E-2</v>
      </c>
    </row>
    <row r="48" spans="1:9">
      <c r="A48" s="9" t="s">
        <v>1</v>
      </c>
      <c r="B48" s="155">
        <f>SUM(B46:B47)</f>
        <v>108302</v>
      </c>
      <c r="C48" s="165">
        <f>SUM(C46:C47)</f>
        <v>1</v>
      </c>
      <c r="D48" s="177">
        <f>B48/National!B50</f>
        <v>3.6422287606999004E-2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1179086</v>
      </c>
      <c r="H50" s="189">
        <f>G50/G$52</f>
        <v>0.86242444279302732</v>
      </c>
      <c r="I50" s="113">
        <f>+G50/National!G52</f>
        <v>3.7620356418422971E-2</v>
      </c>
    </row>
    <row r="51" spans="1:9">
      <c r="A51" s="146" t="s">
        <v>5</v>
      </c>
      <c r="B51" s="149">
        <f>9039+22431</f>
        <v>31470</v>
      </c>
      <c r="C51" s="174">
        <f>B51/B$57</f>
        <v>0.29057635131391851</v>
      </c>
      <c r="D51" s="77">
        <f>B51/National!B53</f>
        <v>4.3745942692398045E-2</v>
      </c>
      <c r="E51" s="51"/>
      <c r="F51" s="163" t="s">
        <v>97</v>
      </c>
      <c r="G51" s="194">
        <v>188090</v>
      </c>
      <c r="H51" s="86">
        <f>G51/G$52</f>
        <v>0.13757555720697262</v>
      </c>
      <c r="I51" s="113">
        <f>+G51/National!G53</f>
        <v>3.7298493643748917E-2</v>
      </c>
    </row>
    <row r="52" spans="1:9">
      <c r="A52" s="146" t="s">
        <v>7</v>
      </c>
      <c r="B52" s="157">
        <f>6282+12440</f>
        <v>18722</v>
      </c>
      <c r="C52" s="175">
        <f t="shared" ref="C52:C56" si="6">B52/B$57</f>
        <v>0.17286846041624346</v>
      </c>
      <c r="D52" s="78">
        <f>B52/National!B54</f>
        <v>2.7336694569894592E-2</v>
      </c>
      <c r="E52" s="51"/>
      <c r="F52" s="60" t="s">
        <v>1</v>
      </c>
      <c r="G52" s="190">
        <f>SUM(G50:G51)</f>
        <v>1367176</v>
      </c>
      <c r="H52" s="185">
        <f>SUM(H50:H51)</f>
        <v>1</v>
      </c>
      <c r="I52" s="192">
        <f>+G52/National!G54</f>
        <v>3.7575746815274501E-2</v>
      </c>
    </row>
    <row r="53" spans="1:9">
      <c r="A53" s="146" t="s">
        <v>6</v>
      </c>
      <c r="B53" s="157">
        <f>4159+12638</f>
        <v>16797</v>
      </c>
      <c r="C53" s="175">
        <f t="shared" si="6"/>
        <v>0.15509408875182359</v>
      </c>
      <c r="D53" s="78">
        <f>B53/National!B55</f>
        <v>3.1751882769258687E-2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8202+1964+7088</f>
        <v>17254</v>
      </c>
      <c r="C54" s="175">
        <f t="shared" si="6"/>
        <v>0.159313770752156</v>
      </c>
      <c r="D54" s="78">
        <f>B54/National!B56</f>
        <v>4.1421496253724072E-2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5760+12900</f>
        <v>18660</v>
      </c>
      <c r="C55" s="175">
        <f t="shared" si="6"/>
        <v>0.17229598714705177</v>
      </c>
      <c r="D55" s="78">
        <f>B55/National!B57</f>
        <v>4.6524152168384521E-2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5399</v>
      </c>
      <c r="C56" s="175">
        <f t="shared" si="6"/>
        <v>4.9851341618806673E-2</v>
      </c>
      <c r="D56" s="78">
        <f>B56/National!B58</f>
        <v>2.425165301135547E-2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108302</v>
      </c>
      <c r="C57" s="178">
        <f>SUM(C51:C56)</f>
        <v>1</v>
      </c>
      <c r="D57" s="177">
        <f>B57/National!B59</f>
        <v>3.6422287606999004E-2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76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209</v>
      </c>
      <c r="B4" s="50">
        <v>3642361</v>
      </c>
      <c r="C4" s="99"/>
      <c r="D4" s="77">
        <f>B4/National!B4</f>
        <v>1.1979097238146542E-2</v>
      </c>
      <c r="E4" s="1"/>
      <c r="F4" s="146" t="s">
        <v>10</v>
      </c>
      <c r="G4" s="195">
        <v>1051564</v>
      </c>
      <c r="H4" s="189">
        <f>G4/G$6</f>
        <v>0.45683468239431968</v>
      </c>
      <c r="I4" s="112">
        <f>+G4/National!G4</f>
        <v>1.0148452546378887E-2</v>
      </c>
    </row>
    <row r="5" spans="1:9">
      <c r="A5" s="8" t="s">
        <v>167</v>
      </c>
      <c r="B5" s="50">
        <f>66467+2200</f>
        <v>68667</v>
      </c>
      <c r="C5" s="100"/>
      <c r="D5" s="79">
        <f>B5/National!B5</f>
        <v>1.9411489831208491E-2</v>
      </c>
      <c r="E5" s="1"/>
      <c r="F5" s="146" t="s">
        <v>11</v>
      </c>
      <c r="G5" s="196">
        <v>1250284</v>
      </c>
      <c r="H5" s="86">
        <f>G5/G$6</f>
        <v>0.54316531760568032</v>
      </c>
      <c r="I5" s="113">
        <f>+G5/National!G5</f>
        <v>1.1941307308037018E-2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2301848</v>
      </c>
      <c r="H6" s="182">
        <f>SUM(H4:H5)</f>
        <v>1</v>
      </c>
      <c r="I6" s="183">
        <f>+G6/National!G6</f>
        <v>1.1049545695195071E-2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1838668</v>
      </c>
      <c r="C8" s="174">
        <f>B8/B10</f>
        <v>0.66964632356422515</v>
      </c>
      <c r="D8" s="77">
        <f>B8/National!B8</f>
        <v>1.345963054790361E-2</v>
      </c>
      <c r="E8" s="1"/>
      <c r="F8" s="146" t="s">
        <v>32</v>
      </c>
      <c r="G8" s="206">
        <f>17/100</f>
        <v>0.17</v>
      </c>
      <c r="H8" s="87"/>
      <c r="I8" s="87"/>
    </row>
    <row r="9" spans="1:9">
      <c r="A9" s="146" t="s">
        <v>169</v>
      </c>
      <c r="B9" s="150">
        <v>907062</v>
      </c>
      <c r="C9" s="175">
        <f>B9/B10</f>
        <v>0.33035367643577485</v>
      </c>
      <c r="D9" s="78">
        <f>B9/National!B9</f>
        <v>2.3523137729553081E-2</v>
      </c>
      <c r="E9" s="1"/>
      <c r="F9" s="146" t="s">
        <v>31</v>
      </c>
      <c r="G9" s="207">
        <f>14/100</f>
        <v>0.14000000000000001</v>
      </c>
      <c r="H9" s="87"/>
      <c r="I9" s="87"/>
    </row>
    <row r="10" spans="1:9">
      <c r="A10" s="9" t="s">
        <v>9</v>
      </c>
      <c r="B10" s="152">
        <f>SUM(B8:B9)</f>
        <v>2745730</v>
      </c>
      <c r="C10" s="176">
        <f>SUM(C8:C9)</f>
        <v>1</v>
      </c>
      <c r="D10" s="165"/>
      <c r="E10" s="1"/>
      <c r="F10" s="146" t="s">
        <v>33</v>
      </c>
      <c r="G10" s="205">
        <f>17/100</f>
        <v>0.17</v>
      </c>
      <c r="H10" s="87"/>
      <c r="I10" s="87"/>
    </row>
    <row r="11" spans="1:9">
      <c r="A11" s="146" t="s">
        <v>170</v>
      </c>
      <c r="B11" s="149">
        <v>74150</v>
      </c>
      <c r="C11" s="93">
        <f>B11/(B12+B11)</f>
        <v>4.0328304487128937E-2</v>
      </c>
      <c r="D11" s="77">
        <f>B11/National!B11</f>
        <v>1.9661154649365912E-2</v>
      </c>
      <c r="E11" s="1"/>
      <c r="G11" s="49"/>
      <c r="H11" s="87"/>
      <c r="I11" s="86"/>
    </row>
    <row r="12" spans="1:9" ht="23.25">
      <c r="A12" s="146" t="s">
        <v>171</v>
      </c>
      <c r="B12" s="150">
        <v>1764509</v>
      </c>
      <c r="C12" s="95">
        <f>B12/(B11+B12)</f>
        <v>0.95967169551287101</v>
      </c>
      <c r="D12" s="79">
        <f>B12/National!B12</f>
        <v>1.3346776003422446E-2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1654409</v>
      </c>
      <c r="H13" s="189">
        <f>G13/G$18</f>
        <v>0.48551161858433517</v>
      </c>
      <c r="I13" s="92">
        <f>+G13/National!G13</f>
        <v>1.206894437426515E-2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1618337</v>
      </c>
      <c r="H14" s="86">
        <f>G14/G$18</f>
        <v>0.4749257386081176</v>
      </c>
      <c r="I14" s="106">
        <f>+G14/National!G14</f>
        <v>1.4679913851385321E-2</v>
      </c>
    </row>
    <row r="15" spans="1:9">
      <c r="A15" s="146" t="s">
        <v>3</v>
      </c>
      <c r="B15" s="149">
        <v>97268</v>
      </c>
      <c r="C15" s="174">
        <f>B15/B$17</f>
        <v>0.85831016986543129</v>
      </c>
      <c r="D15" s="77">
        <f>B15/National!B15</f>
        <v>3.2670658746995526E-2</v>
      </c>
      <c r="E15" s="3"/>
      <c r="F15" s="146" t="s">
        <v>13</v>
      </c>
      <c r="G15" s="150">
        <v>19224</v>
      </c>
      <c r="H15" s="86">
        <f>G15/G$18</f>
        <v>5.6415767537925984E-3</v>
      </c>
      <c r="I15" s="106">
        <f>+G15/National!G15</f>
        <v>2.27959416962723E-2</v>
      </c>
    </row>
    <row r="16" spans="1:9">
      <c r="A16" s="146" t="s">
        <v>2</v>
      </c>
      <c r="B16" s="150">
        <v>16057</v>
      </c>
      <c r="C16" s="175">
        <f>B16/B$17</f>
        <v>0.14168983013456871</v>
      </c>
      <c r="D16" s="78">
        <f>B16/National!B16</f>
        <v>1.5069354505696643E-2</v>
      </c>
      <c r="E16" s="1"/>
      <c r="F16" s="9" t="s">
        <v>1</v>
      </c>
      <c r="G16" s="162">
        <v>3291970</v>
      </c>
      <c r="H16" s="105"/>
      <c r="I16" s="106"/>
    </row>
    <row r="17" spans="1:9">
      <c r="A17" s="9" t="s">
        <v>1</v>
      </c>
      <c r="B17" s="154">
        <f>SUM(B15:B16)</f>
        <v>113325</v>
      </c>
      <c r="C17" s="176">
        <f>SUM(C15:C16)</f>
        <v>1</v>
      </c>
      <c r="D17" s="177">
        <f>B17/National!B17</f>
        <v>2.8031536808444116E-2</v>
      </c>
      <c r="E17" s="1"/>
      <c r="F17" s="108" t="s">
        <v>35</v>
      </c>
      <c r="G17" s="117">
        <v>115588</v>
      </c>
      <c r="H17" s="105">
        <f>G17/G$18</f>
        <v>3.3921066053754625E-2</v>
      </c>
      <c r="I17" s="106">
        <f>+G17/National!G17</f>
        <v>1.4998837339667065E-2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3407558</v>
      </c>
      <c r="H18" s="185">
        <f>SUM(H13:H17)</f>
        <v>1</v>
      </c>
      <c r="I18" s="186">
        <f>+G18/National!G18</f>
        <v>1.3317473687406213E-2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684+249</f>
        <v>933</v>
      </c>
      <c r="C20" s="174">
        <f>B20/B$26</f>
        <v>8.2331036065052994E-3</v>
      </c>
      <c r="D20" s="77">
        <f>B20/National!B20</f>
        <v>1.9956792368077687E-2</v>
      </c>
      <c r="E20" s="51"/>
      <c r="F20" s="163" t="s">
        <v>3</v>
      </c>
      <c r="G20" s="108">
        <f>112+406</f>
        <v>518</v>
      </c>
      <c r="H20" s="189">
        <f>G20/G$23</f>
        <v>0.69158878504672894</v>
      </c>
      <c r="I20" s="92">
        <f>+G20/National!G20</f>
        <v>2.4895467871389437E-2</v>
      </c>
    </row>
    <row r="21" spans="1:9">
      <c r="A21" s="146" t="s">
        <v>7</v>
      </c>
      <c r="B21" s="157">
        <f>2318+1047</f>
        <v>3365</v>
      </c>
      <c r="C21" s="175">
        <f t="shared" ref="C21:C25" si="0">B21/B$26</f>
        <v>2.9693883854116112E-2</v>
      </c>
      <c r="D21" s="78">
        <f>B21/National!B21</f>
        <v>2.109638508896217E-2</v>
      </c>
      <c r="E21" s="51"/>
      <c r="F21" s="163" t="s">
        <v>2</v>
      </c>
      <c r="G21" s="198">
        <f>199+23</f>
        <v>222</v>
      </c>
      <c r="H21" s="86">
        <f t="shared" ref="H21:H22" si="1">G21/G$23</f>
        <v>0.29639519359145527</v>
      </c>
      <c r="I21" s="106">
        <f>+G21/National!G21</f>
        <v>1.391326146903986E-2</v>
      </c>
    </row>
    <row r="22" spans="1:9">
      <c r="A22" s="146" t="s">
        <v>6</v>
      </c>
      <c r="B22" s="157">
        <f>2684+2151</f>
        <v>4835</v>
      </c>
      <c r="C22" s="175">
        <f t="shared" si="0"/>
        <v>4.2665654809703239E-2</v>
      </c>
      <c r="D22" s="78">
        <f>B22/National!B22</f>
        <v>2.0046020854495326E-2</v>
      </c>
      <c r="E22" s="51"/>
      <c r="F22" s="163" t="s">
        <v>28</v>
      </c>
      <c r="G22" s="181">
        <v>9</v>
      </c>
      <c r="H22" s="86">
        <f t="shared" si="1"/>
        <v>1.2016021361815754E-2</v>
      </c>
      <c r="I22" s="106">
        <f>+G22/National!G22</f>
        <v>1.8072289156626505E-2</v>
      </c>
    </row>
    <row r="23" spans="1:9">
      <c r="A23" s="146" t="s">
        <v>30</v>
      </c>
      <c r="B23" s="157">
        <f>21246+3009+1046</f>
        <v>25301</v>
      </c>
      <c r="C23" s="175">
        <f t="shared" si="0"/>
        <v>0.22326447411381625</v>
      </c>
      <c r="D23" s="78">
        <f>B23/National!B23</f>
        <v>3.1837692072476331E-2</v>
      </c>
      <c r="E23" s="51"/>
      <c r="F23" s="9" t="s">
        <v>1</v>
      </c>
      <c r="G23" s="197">
        <f>SUM(G20:G22)</f>
        <v>749</v>
      </c>
      <c r="H23" s="132">
        <f>SUM(H20:H22)</f>
        <v>1</v>
      </c>
      <c r="I23" s="133">
        <f>+G23/National!G23</f>
        <v>2.0101446552695849E-2</v>
      </c>
    </row>
    <row r="24" spans="1:9">
      <c r="A24" s="146" t="s">
        <v>8</v>
      </c>
      <c r="B24" s="157">
        <f>67326+11372</f>
        <v>78698</v>
      </c>
      <c r="C24" s="175">
        <f t="shared" si="0"/>
        <v>0.69445743582503106</v>
      </c>
      <c r="D24" s="78">
        <f>B24/National!B24</f>
        <v>2.8214206841563342E-2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191</v>
      </c>
      <c r="C25" s="175">
        <f t="shared" si="0"/>
        <v>1.6854477908279872E-3</v>
      </c>
      <c r="D25" s="78">
        <f>B25/National!B25</f>
        <v>1.6850463167181296E-2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113323</v>
      </c>
      <c r="C26" s="176">
        <f>SUM(C20:C25)</f>
        <v>1</v>
      </c>
      <c r="D26" s="177">
        <f>B26/National!B26</f>
        <v>2.8030972761798941E-2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2283657</v>
      </c>
      <c r="H27" s="87"/>
      <c r="I27" s="113">
        <f>+G27/National!G27</f>
        <v>1.6538748285838751E-2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1634144</v>
      </c>
      <c r="H28" s="87"/>
      <c r="I28" s="114">
        <f>+G28/National!G28</f>
        <v>1.2288583734077065E-2</v>
      </c>
    </row>
    <row r="29" spans="1:9">
      <c r="A29" s="146" t="s">
        <v>91</v>
      </c>
      <c r="B29" s="149">
        <f>11089+1191</f>
        <v>12280</v>
      </c>
      <c r="C29" s="174">
        <f>B29/B$34</f>
        <v>0.10836282131606118</v>
      </c>
      <c r="D29" s="77">
        <f>B29/National!B29</f>
        <v>1.5748980740843341E-2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77949+2130</f>
        <v>80079</v>
      </c>
      <c r="C30" s="175">
        <f t="shared" ref="C30:C33" si="2">B30/B$34</f>
        <v>0.70664384105609634</v>
      </c>
      <c r="D30" s="78">
        <f>B30/National!B30</f>
        <v>4.4785760545310353E-2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7083+12623</f>
        <v>19706</v>
      </c>
      <c r="C31" s="175">
        <f t="shared" si="2"/>
        <v>0.17389232547673464</v>
      </c>
      <c r="D31" s="78">
        <f>B31/National!B31</f>
        <v>1.5318242591959205E-2</v>
      </c>
      <c r="E31" s="51"/>
      <c r="F31" s="163" t="s">
        <v>16</v>
      </c>
      <c r="G31" s="168">
        <v>676749</v>
      </c>
      <c r="H31" s="92">
        <f>G31/G$38</f>
        <v>0.35176550941230772</v>
      </c>
      <c r="I31" s="112">
        <f>+G31/National!G31</f>
        <v>1.6020827319349309E-2</v>
      </c>
    </row>
    <row r="32" spans="1:9">
      <c r="A32" s="146" t="s">
        <v>94</v>
      </c>
      <c r="B32" s="157">
        <f>1100+110</f>
        <v>1210</v>
      </c>
      <c r="C32" s="175">
        <f t="shared" si="2"/>
        <v>1.0677444119905051E-2</v>
      </c>
      <c r="D32" s="78">
        <f>B32/National!B32</f>
        <v>2.1221740884297666E-2</v>
      </c>
      <c r="E32" s="51"/>
      <c r="F32" s="163" t="s">
        <v>17</v>
      </c>
      <c r="G32" s="169">
        <v>534756</v>
      </c>
      <c r="H32" s="106">
        <f t="shared" ref="H32:H37" si="3">G32/G$38</f>
        <v>0.27795935679445116</v>
      </c>
      <c r="I32" s="113">
        <f>+G32/National!G32</f>
        <v>8.5956730920001886E-3</v>
      </c>
    </row>
    <row r="33" spans="1:9">
      <c r="A33" s="146" t="s">
        <v>95</v>
      </c>
      <c r="B33" s="150">
        <f>47+1</f>
        <v>48</v>
      </c>
      <c r="C33" s="175">
        <f t="shared" si="2"/>
        <v>4.2356803120284498E-4</v>
      </c>
      <c r="D33" s="78">
        <f>B33/National!B33</f>
        <v>3.6493020709789251E-4</v>
      </c>
      <c r="E33" s="51"/>
      <c r="F33" s="163" t="s">
        <v>18</v>
      </c>
      <c r="G33" s="169">
        <v>382274</v>
      </c>
      <c r="H33" s="106">
        <f t="shared" si="3"/>
        <v>0.19870115559103971</v>
      </c>
      <c r="I33" s="113">
        <f>+G33/National!G33</f>
        <v>1.2033558882684715E-2</v>
      </c>
    </row>
    <row r="34" spans="1:9">
      <c r="A34" s="9" t="s">
        <v>1</v>
      </c>
      <c r="B34" s="154">
        <f>SUM(B29:B33)</f>
        <v>113323</v>
      </c>
      <c r="C34" s="176">
        <f>SUM(C29:C33)</f>
        <v>0.99999999999999989</v>
      </c>
      <c r="D34" s="180">
        <f>B34/National!B34</f>
        <v>2.8031042097889366E-2</v>
      </c>
      <c r="E34" s="51"/>
      <c r="F34" s="163" t="s">
        <v>19</v>
      </c>
      <c r="G34" s="169">
        <v>2211</v>
      </c>
      <c r="H34" s="106">
        <f t="shared" si="3"/>
        <v>1.1492496351093425E-3</v>
      </c>
      <c r="I34" s="113">
        <f>+G34/National!G34</f>
        <v>2.5745357801087944E-4</v>
      </c>
    </row>
    <row r="35" spans="1:9">
      <c r="B35" s="49"/>
      <c r="C35" s="96"/>
      <c r="D35" s="96"/>
      <c r="E35" s="51"/>
      <c r="F35" s="163" t="s">
        <v>20</v>
      </c>
      <c r="G35" s="169">
        <v>32696</v>
      </c>
      <c r="H35" s="106">
        <f t="shared" si="3"/>
        <v>1.6994964301010881E-2</v>
      </c>
      <c r="I35" s="113">
        <f>+G35/National!G35</f>
        <v>2.4524347593173359E-3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255085</v>
      </c>
      <c r="H36" s="106">
        <f t="shared" si="3"/>
        <v>0.13258993359197949</v>
      </c>
      <c r="I36" s="113">
        <f>+G36/National!G36</f>
        <v>1.6123627901925917E-2</v>
      </c>
    </row>
    <row r="37" spans="1:9">
      <c r="A37" s="146" t="s">
        <v>5</v>
      </c>
      <c r="B37" s="149">
        <f>2735+1204</f>
        <v>3939</v>
      </c>
      <c r="C37" s="174">
        <f>B37/B$43</f>
        <v>1.6761416826947626E-2</v>
      </c>
      <c r="D37" s="77">
        <f>B37/National!B37</f>
        <v>1.8442047306028428E-2</v>
      </c>
      <c r="E37" s="51"/>
      <c r="F37" s="163" t="s">
        <v>22</v>
      </c>
      <c r="G37" s="170">
        <v>40093</v>
      </c>
      <c r="H37" s="106">
        <f t="shared" si="3"/>
        <v>2.0839830674101705E-2</v>
      </c>
      <c r="I37" s="114">
        <f>+G37/National!G37</f>
        <v>1.5627042028530606E-3</v>
      </c>
    </row>
    <row r="38" spans="1:9">
      <c r="A38" s="146" t="s">
        <v>7</v>
      </c>
      <c r="B38" s="157">
        <f>6759+3700</f>
        <v>10459</v>
      </c>
      <c r="C38" s="175">
        <f t="shared" ref="C38:C42" si="4">B38/B$43</f>
        <v>4.4505625436162786E-2</v>
      </c>
      <c r="D38" s="78">
        <f>B38/National!B38</f>
        <v>2.1902839264697875E-2</v>
      </c>
      <c r="E38" s="51"/>
      <c r="F38" s="47" t="s">
        <v>1</v>
      </c>
      <c r="G38" s="187">
        <f>SUM(G31:G37)</f>
        <v>1923864</v>
      </c>
      <c r="H38" s="188">
        <f>SUM(H31:H37)</f>
        <v>1</v>
      </c>
      <c r="I38" s="188">
        <f>+G38/National!G39</f>
        <v>9.558156543832708E-3</v>
      </c>
    </row>
    <row r="39" spans="1:9">
      <c r="A39" s="146" t="s">
        <v>6</v>
      </c>
      <c r="B39" s="157">
        <f>5893+5318</f>
        <v>11211</v>
      </c>
      <c r="C39" s="175">
        <f t="shared" si="4"/>
        <v>4.7705570969004782E-2</v>
      </c>
      <c r="D39" s="78">
        <f>B39/National!B39</f>
        <v>2.0284610582881751E-2</v>
      </c>
      <c r="E39" s="51"/>
      <c r="H39" s="87"/>
      <c r="I39" s="87"/>
    </row>
    <row r="40" spans="1:9" ht="23.25">
      <c r="A40" s="146" t="s">
        <v>30</v>
      </c>
      <c r="B40" s="157">
        <f>42847+6018+2254</f>
        <v>51119</v>
      </c>
      <c r="C40" s="175">
        <f t="shared" si="4"/>
        <v>0.21752395703902913</v>
      </c>
      <c r="D40" s="78">
        <f>B40/National!B40</f>
        <v>3.1774733123072316E-2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134652+22744</f>
        <v>157396</v>
      </c>
      <c r="C41" s="175">
        <f t="shared" si="4"/>
        <v>0.66975881261595549</v>
      </c>
      <c r="D41" s="78">
        <f>B41/National!B41</f>
        <v>2.8214227071862424E-2</v>
      </c>
      <c r="E41" s="51"/>
      <c r="F41" s="163" t="s">
        <v>38</v>
      </c>
      <c r="G41" s="168">
        <v>800705</v>
      </c>
      <c r="H41" s="189">
        <f>G41/G$47</f>
        <v>0.50842350963058724</v>
      </c>
      <c r="I41" s="113">
        <f>+G41/National!G42</f>
        <v>8.8292350809574156E-3</v>
      </c>
    </row>
    <row r="42" spans="1:9">
      <c r="A42" s="156" t="s">
        <v>29</v>
      </c>
      <c r="B42" s="150">
        <v>880</v>
      </c>
      <c r="C42" s="175">
        <f t="shared" si="4"/>
        <v>3.7446171129002061E-3</v>
      </c>
      <c r="D42" s="78">
        <f>B42/National!B42</f>
        <v>1.6672982190223569E-2</v>
      </c>
      <c r="E42" s="51"/>
      <c r="F42" s="163" t="s">
        <v>39</v>
      </c>
      <c r="G42" s="169">
        <v>292900</v>
      </c>
      <c r="H42" s="86">
        <f t="shared" ref="H42:H46" si="5">G42/G$47</f>
        <v>0.1859826602441586</v>
      </c>
      <c r="I42" s="113">
        <f>+G42/National!G43</f>
        <v>6.576752645638527E-3</v>
      </c>
    </row>
    <row r="43" spans="1:9">
      <c r="A43" s="9" t="s">
        <v>1</v>
      </c>
      <c r="B43" s="154">
        <f>SUM(B37:B42)</f>
        <v>235004</v>
      </c>
      <c r="C43" s="178">
        <f>SUM(C37:C42)</f>
        <v>1</v>
      </c>
      <c r="D43" s="179">
        <f>B43/National!B43</f>
        <v>2.7699771180210584E-2</v>
      </c>
      <c r="E43" s="51"/>
      <c r="F43" s="163" t="s">
        <v>40</v>
      </c>
      <c r="G43" s="169">
        <v>146284</v>
      </c>
      <c r="H43" s="86">
        <f t="shared" si="5"/>
        <v>9.2885925131978478E-2</v>
      </c>
      <c r="I43" s="113">
        <f>+G43/National!G44</f>
        <v>1.116588650844689E-2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57607</v>
      </c>
      <c r="H44" s="86">
        <f t="shared" si="5"/>
        <v>3.6578706414084138E-2</v>
      </c>
      <c r="I44" s="113">
        <f>+G44/National!G45</f>
        <v>3.9128518167078847E-3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153347</v>
      </c>
      <c r="H45" s="86">
        <f t="shared" si="5"/>
        <v>9.7370716969822427E-2</v>
      </c>
      <c r="I45" s="113">
        <f>+G45/National!G46</f>
        <v>1.8433666652441952E-2</v>
      </c>
    </row>
    <row r="46" spans="1:9">
      <c r="A46" s="8" t="s">
        <v>3</v>
      </c>
      <c r="B46" s="52">
        <v>23265</v>
      </c>
      <c r="C46" s="93">
        <f>B46/B$48</f>
        <v>0.47970061238376049</v>
      </c>
      <c r="D46" s="77">
        <f>B46/National!B48</f>
        <v>2.349008196539239E-2</v>
      </c>
      <c r="E46" s="51"/>
      <c r="F46" s="163" t="s">
        <v>43</v>
      </c>
      <c r="G46" s="170">
        <v>124035</v>
      </c>
      <c r="H46" s="86">
        <f t="shared" si="5"/>
        <v>7.8758481609369102E-2</v>
      </c>
      <c r="I46" s="113">
        <f>+G46/National!G47</f>
        <v>1.5570504880540766E-2</v>
      </c>
    </row>
    <row r="47" spans="1:9">
      <c r="A47" s="8" t="s">
        <v>2</v>
      </c>
      <c r="B47" s="52">
        <v>25234</v>
      </c>
      <c r="C47" s="97">
        <f>B47/B$48</f>
        <v>0.52029938761623951</v>
      </c>
      <c r="D47" s="78">
        <f>B47/National!B49</f>
        <v>1.2724579961282664E-2</v>
      </c>
      <c r="E47" s="51"/>
      <c r="F47" s="9" t="s">
        <v>1</v>
      </c>
      <c r="G47" s="191">
        <f>SUM(G41:G46)</f>
        <v>1574878</v>
      </c>
      <c r="H47" s="182">
        <f>SUM(H41:H46)</f>
        <v>1</v>
      </c>
      <c r="I47" s="188">
        <f>+G47/National!G49</f>
        <v>8.6808691322259532E-3</v>
      </c>
    </row>
    <row r="48" spans="1:9">
      <c r="A48" s="9" t="s">
        <v>1</v>
      </c>
      <c r="B48" s="155">
        <f>SUM(B46:B47)</f>
        <v>48499</v>
      </c>
      <c r="C48" s="165">
        <f>SUM(C46:C47)</f>
        <v>1</v>
      </c>
      <c r="D48" s="177">
        <f>B48/National!B50</f>
        <v>1.6310359242228626E-2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493590</v>
      </c>
      <c r="H50" s="189">
        <f>G50/G$52</f>
        <v>0.86803827465104544</v>
      </c>
      <c r="I50" s="113">
        <f>+G50/National!G52</f>
        <v>1.5748666106263149E-2</v>
      </c>
    </row>
    <row r="51" spans="1:9">
      <c r="A51" s="146" t="s">
        <v>5</v>
      </c>
      <c r="B51" s="149">
        <f>5029+4650</f>
        <v>9679</v>
      </c>
      <c r="C51" s="174">
        <f>B51/B$57</f>
        <v>0.19957112517783873</v>
      </c>
      <c r="D51" s="77">
        <f>B51/National!B53</f>
        <v>1.3454622793762971E-2</v>
      </c>
      <c r="E51" s="51"/>
      <c r="F51" s="163" t="s">
        <v>97</v>
      </c>
      <c r="G51" s="194">
        <v>75037</v>
      </c>
      <c r="H51" s="86">
        <f>G51/G$52</f>
        <v>0.13196172534895459</v>
      </c>
      <c r="I51" s="113">
        <f>+G51/National!G53</f>
        <v>1.4879935496549458E-2</v>
      </c>
    </row>
    <row r="52" spans="1:9">
      <c r="A52" s="146" t="s">
        <v>7</v>
      </c>
      <c r="B52" s="157">
        <f>4820+5549</f>
        <v>10369</v>
      </c>
      <c r="C52" s="175">
        <f t="shared" ref="C52:C56" si="6">B52/B$57</f>
        <v>0.21379822264376586</v>
      </c>
      <c r="D52" s="78">
        <f>B52/National!B54</f>
        <v>1.5140165900824539E-2</v>
      </c>
      <c r="E52" s="51"/>
      <c r="F52" s="60" t="s">
        <v>1</v>
      </c>
      <c r="G52" s="190">
        <f>SUM(G50:G51)</f>
        <v>568627</v>
      </c>
      <c r="H52" s="185">
        <f>SUM(H50:H51)</f>
        <v>1</v>
      </c>
      <c r="I52" s="192">
        <f>+G52/National!G54</f>
        <v>1.56282616022583E-2</v>
      </c>
    </row>
    <row r="53" spans="1:9">
      <c r="A53" s="146" t="s">
        <v>6</v>
      </c>
      <c r="B53" s="157">
        <f>2941+5569</f>
        <v>8510</v>
      </c>
      <c r="C53" s="175">
        <f t="shared" si="6"/>
        <v>0.17546753541310131</v>
      </c>
      <c r="D53" s="78">
        <f>B53/National!B55</f>
        <v>1.6086713244412184E-2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7486+1281+226</f>
        <v>8993</v>
      </c>
      <c r="C54" s="175">
        <f t="shared" si="6"/>
        <v>0.18542650363925028</v>
      </c>
      <c r="D54" s="78">
        <f>B54/National!B56</f>
        <v>2.1589400475816655E-2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2763+5612</f>
        <v>8375</v>
      </c>
      <c r="C55" s="175">
        <f t="shared" si="6"/>
        <v>0.17268397286541989</v>
      </c>
      <c r="D55" s="78">
        <f>B55/National!B57</f>
        <v>2.0881016849422313E-2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2573</v>
      </c>
      <c r="C56" s="175">
        <f t="shared" si="6"/>
        <v>5.305264026062393E-2</v>
      </c>
      <c r="D56" s="78">
        <f>B56/National!B58</f>
        <v>1.1557603852235159E-2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48499</v>
      </c>
      <c r="C57" s="178">
        <f>SUM(C51:C56)</f>
        <v>1</v>
      </c>
      <c r="D57" s="177">
        <f>B57/National!B59</f>
        <v>1.6310359242228626E-2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77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3790060</v>
      </c>
      <c r="C4" s="99"/>
      <c r="D4" s="77">
        <f>B4/National!B4</f>
        <v>1.2464853779844909E-2</v>
      </c>
      <c r="E4" s="1"/>
      <c r="F4" s="146" t="s">
        <v>10</v>
      </c>
      <c r="G4" s="195">
        <v>1442662</v>
      </c>
      <c r="H4" s="189">
        <f>G4/G$6</f>
        <v>0.50511872020615634</v>
      </c>
      <c r="I4" s="112">
        <f>+G4/National!G4</f>
        <v>1.3922868077895455E-2</v>
      </c>
    </row>
    <row r="5" spans="1:9">
      <c r="A5" s="8" t="s">
        <v>167</v>
      </c>
      <c r="B5" s="50">
        <f>94779+1218</f>
        <v>95997</v>
      </c>
      <c r="C5" s="100"/>
      <c r="D5" s="79">
        <f>B5/National!B5</f>
        <v>2.7137413740610798E-2</v>
      </c>
      <c r="E5" s="1"/>
      <c r="F5" s="146" t="s">
        <v>11</v>
      </c>
      <c r="G5" s="196">
        <v>1413423</v>
      </c>
      <c r="H5" s="86">
        <f>G5/G$6</f>
        <v>0.49488127979384366</v>
      </c>
      <c r="I5" s="113">
        <f>+G5/National!G5</f>
        <v>1.3499427649436131E-2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2856085</v>
      </c>
      <c r="H6" s="182">
        <f>SUM(H4:H5)</f>
        <v>1</v>
      </c>
      <c r="I6" s="183">
        <f>+G6/National!G6</f>
        <v>1.3710045892196711E-2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1511332</v>
      </c>
      <c r="C8" s="174">
        <f>B8/B10</f>
        <v>0.73666519463478497</v>
      </c>
      <c r="D8" s="77">
        <f>B8/National!B8</f>
        <v>1.1063427630885107E-2</v>
      </c>
      <c r="E8" s="1"/>
      <c r="F8" s="146" t="s">
        <v>32</v>
      </c>
      <c r="G8" s="206">
        <f>24/100</f>
        <v>0.24</v>
      </c>
      <c r="H8" s="87"/>
      <c r="I8" s="87"/>
    </row>
    <row r="9" spans="1:9">
      <c r="A9" s="146" t="s">
        <v>169</v>
      </c>
      <c r="B9" s="150">
        <v>540254</v>
      </c>
      <c r="C9" s="175">
        <f>B9/B10</f>
        <v>0.26333480536521503</v>
      </c>
      <c r="D9" s="78">
        <f>B9/National!B9</f>
        <v>1.4010584999638359E-2</v>
      </c>
      <c r="E9" s="1"/>
      <c r="F9" s="146" t="s">
        <v>31</v>
      </c>
      <c r="G9" s="207">
        <f>24/100</f>
        <v>0.24</v>
      </c>
      <c r="H9" s="87"/>
      <c r="I9" s="87"/>
    </row>
    <row r="10" spans="1:9">
      <c r="A10" s="9" t="s">
        <v>9</v>
      </c>
      <c r="B10" s="152">
        <f>SUM(B8:B9)</f>
        <v>2051586</v>
      </c>
      <c r="C10" s="176">
        <f>SUM(C8:C9)</f>
        <v>1</v>
      </c>
      <c r="D10" s="165"/>
      <c r="E10" s="1"/>
      <c r="F10" s="146" t="s">
        <v>33</v>
      </c>
      <c r="G10" s="205">
        <f>24/100</f>
        <v>0.24</v>
      </c>
      <c r="H10" s="87"/>
      <c r="I10" s="87"/>
    </row>
    <row r="11" spans="1:9">
      <c r="A11" s="146" t="s">
        <v>170</v>
      </c>
      <c r="B11" s="149">
        <v>52550</v>
      </c>
      <c r="C11" s="93">
        <f>B11/(B12+B11)</f>
        <v>3.4770629636221802E-2</v>
      </c>
      <c r="D11" s="77">
        <f>B11/National!B11</f>
        <v>1.3933832458856083E-2</v>
      </c>
      <c r="E11" s="1"/>
      <c r="G11" s="49"/>
      <c r="H11" s="87"/>
      <c r="I11" s="86"/>
    </row>
    <row r="12" spans="1:9" ht="23.25">
      <c r="A12" s="146" t="s">
        <v>171</v>
      </c>
      <c r="B12" s="150">
        <v>1458783</v>
      </c>
      <c r="C12" s="95">
        <f>B12/(B11+B12)</f>
        <v>0.96522937036377821</v>
      </c>
      <c r="D12" s="79">
        <f>B12/National!B12</f>
        <v>1.1034259354075612E-2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1463189</v>
      </c>
      <c r="H13" s="189">
        <f>G13/G$18</f>
        <v>0.45611198393994939</v>
      </c>
      <c r="I13" s="92">
        <f>+G13/National!G13</f>
        <v>1.0673990923669208E-2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1626951</v>
      </c>
      <c r="H14" s="86">
        <f>G14/G$18</f>
        <v>0.50716062544420748</v>
      </c>
      <c r="I14" s="106">
        <f>+G14/National!G14</f>
        <v>1.4758051333205137E-2</v>
      </c>
    </row>
    <row r="15" spans="1:9">
      <c r="A15" s="146" t="s">
        <v>3</v>
      </c>
      <c r="B15" s="149">
        <v>46260</v>
      </c>
      <c r="C15" s="174">
        <f>B15/B$17</f>
        <v>0.78075949367088604</v>
      </c>
      <c r="D15" s="77">
        <f>B15/National!B15</f>
        <v>1.5537943348645115E-2</v>
      </c>
      <c r="E15" s="3"/>
      <c r="F15" s="146" t="s">
        <v>13</v>
      </c>
      <c r="G15" s="150">
        <v>15533</v>
      </c>
      <c r="H15" s="86">
        <f>G15/G$18</f>
        <v>4.8420179802740682E-3</v>
      </c>
      <c r="I15" s="106">
        <f>+G15/National!G15</f>
        <v>1.8419130377038993E-2</v>
      </c>
    </row>
    <row r="16" spans="1:9">
      <c r="A16" s="146" t="s">
        <v>2</v>
      </c>
      <c r="B16" s="150">
        <v>12990</v>
      </c>
      <c r="C16" s="175">
        <f>B16/B$17</f>
        <v>0.21924050632911393</v>
      </c>
      <c r="D16" s="78">
        <f>B16/National!B16</f>
        <v>1.2191001745593783E-2</v>
      </c>
      <c r="E16" s="1"/>
      <c r="F16" s="9" t="s">
        <v>1</v>
      </c>
      <c r="G16" s="162">
        <v>3105673</v>
      </c>
      <c r="H16" s="105"/>
      <c r="I16" s="106"/>
    </row>
    <row r="17" spans="1:9">
      <c r="A17" s="9" t="s">
        <v>1</v>
      </c>
      <c r="B17" s="154">
        <f>SUM(B15:B16)</f>
        <v>59250</v>
      </c>
      <c r="C17" s="176">
        <f>SUM(C15:C16)</f>
        <v>1</v>
      </c>
      <c r="D17" s="177">
        <f>B17/National!B17</f>
        <v>1.4655800184428094E-2</v>
      </c>
      <c r="E17" s="1"/>
      <c r="F17" s="108" t="s">
        <v>35</v>
      </c>
      <c r="G17" s="117">
        <v>102287</v>
      </c>
      <c r="H17" s="105">
        <f>G17/G$18</f>
        <v>3.1885372635569023E-2</v>
      </c>
      <c r="I17" s="106">
        <f>+G17/National!G17</f>
        <v>1.3272883646767181E-2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3207960</v>
      </c>
      <c r="H18" s="185">
        <f>SUM(H13:H17)</f>
        <v>0.99999999999999989</v>
      </c>
      <c r="I18" s="186">
        <f>+G18/National!G18</f>
        <v>1.2537401532197437E-2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555+174</f>
        <v>729</v>
      </c>
      <c r="C20" s="174">
        <f>B20/B$26</f>
        <v>1.2303382164315129E-2</v>
      </c>
      <c r="D20" s="77">
        <f>B20/National!B20</f>
        <v>1.5593249342260059E-2</v>
      </c>
      <c r="E20" s="51"/>
      <c r="F20" s="163" t="s">
        <v>3</v>
      </c>
      <c r="G20" s="108">
        <f>227+71</f>
        <v>298</v>
      </c>
      <c r="H20" s="189">
        <f>G20/G$23</f>
        <v>0.71634615384615385</v>
      </c>
      <c r="I20" s="92">
        <f>+G20/National!G20</f>
        <v>1.4322103138366895E-2</v>
      </c>
    </row>
    <row r="21" spans="1:9">
      <c r="A21" s="146" t="s">
        <v>7</v>
      </c>
      <c r="B21" s="157">
        <f>2785+759</f>
        <v>3544</v>
      </c>
      <c r="C21" s="175">
        <f t="shared" ref="C21:C25" si="0">B21/B$26</f>
        <v>5.981232701005873E-2</v>
      </c>
      <c r="D21" s="78">
        <f>B21/National!B21</f>
        <v>2.2218599927275463E-2</v>
      </c>
      <c r="E21" s="51"/>
      <c r="F21" s="163" t="s">
        <v>2</v>
      </c>
      <c r="G21" s="198">
        <f>111+3</f>
        <v>114</v>
      </c>
      <c r="H21" s="86">
        <f t="shared" ref="H21:H22" si="1">G21/G$23</f>
        <v>0.27403846153846156</v>
      </c>
      <c r="I21" s="106">
        <f>+G21/National!G21</f>
        <v>7.1446477813988472E-3</v>
      </c>
    </row>
    <row r="22" spans="1:9">
      <c r="A22" s="146" t="s">
        <v>6</v>
      </c>
      <c r="B22" s="157">
        <f>2361+1121</f>
        <v>3482</v>
      </c>
      <c r="C22" s="175">
        <f t="shared" si="0"/>
        <v>5.8765948828731519E-2</v>
      </c>
      <c r="D22" s="78">
        <f>B22/National!B22</f>
        <v>1.443645183357864E-2</v>
      </c>
      <c r="E22" s="51"/>
      <c r="F22" s="163" t="s">
        <v>28</v>
      </c>
      <c r="G22" s="181">
        <v>4</v>
      </c>
      <c r="H22" s="86">
        <f t="shared" si="1"/>
        <v>9.6153846153846159E-3</v>
      </c>
      <c r="I22" s="106">
        <f>+G22/National!G22</f>
        <v>8.0321285140562242E-3</v>
      </c>
    </row>
    <row r="23" spans="1:9">
      <c r="A23" s="146" t="s">
        <v>30</v>
      </c>
      <c r="B23" s="157">
        <f>8353+7435+1881</f>
        <v>17669</v>
      </c>
      <c r="C23" s="175">
        <f t="shared" si="0"/>
        <v>0.29820090461081483</v>
      </c>
      <c r="D23" s="78">
        <f>B23/National!B23</f>
        <v>2.2233910961170875E-2</v>
      </c>
      <c r="E23" s="51"/>
      <c r="F23" s="9" t="s">
        <v>1</v>
      </c>
      <c r="G23" s="197">
        <f>SUM(G20:G22)</f>
        <v>416</v>
      </c>
      <c r="H23" s="132">
        <f>SUM(H20:H22)</f>
        <v>1</v>
      </c>
      <c r="I23" s="133">
        <f>+G23/National!G23</f>
        <v>1.1164488339013982E-2</v>
      </c>
    </row>
    <row r="24" spans="1:9">
      <c r="A24" s="146" t="s">
        <v>8</v>
      </c>
      <c r="B24" s="157">
        <f>24771+8999</f>
        <v>33770</v>
      </c>
      <c r="C24" s="175">
        <f t="shared" si="0"/>
        <v>0.56993856747451566</v>
      </c>
      <c r="D24" s="78">
        <f>B24/National!B24</f>
        <v>1.2106962883930901E-2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58</v>
      </c>
      <c r="C25" s="175">
        <f t="shared" si="0"/>
        <v>9.7886991156416665E-4</v>
      </c>
      <c r="D25" s="78">
        <f>B25/National!B25</f>
        <v>5.1168945743273048E-3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59252</v>
      </c>
      <c r="C26" s="176">
        <f>SUM(C20:C25)</f>
        <v>1</v>
      </c>
      <c r="D26" s="177">
        <f>B26/National!B26</f>
        <v>1.4656258641953628E-2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1436210</v>
      </c>
      <c r="H27" s="87"/>
      <c r="I27" s="113">
        <f>+G27/National!G27</f>
        <v>1.0401349973137155E-2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1364346</v>
      </c>
      <c r="H28" s="87"/>
      <c r="I28" s="114">
        <f>+G28/National!G28</f>
        <v>1.0259732351159449E-2</v>
      </c>
    </row>
    <row r="29" spans="1:9">
      <c r="A29" s="146" t="s">
        <v>91</v>
      </c>
      <c r="B29" s="149">
        <f>6688+850</f>
        <v>7538</v>
      </c>
      <c r="C29" s="174">
        <f>B29/B$34</f>
        <v>0.12721933436846014</v>
      </c>
      <c r="D29" s="77">
        <f>B29/National!B29</f>
        <v>9.6674117935241933E-3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30267+2902</f>
        <v>33169</v>
      </c>
      <c r="C30" s="175">
        <f t="shared" ref="C30:C33" si="2">B30/B$34</f>
        <v>0.55979544994261798</v>
      </c>
      <c r="D30" s="78">
        <f>B30/National!B30</f>
        <v>1.8550417606705869E-2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1697+9143</f>
        <v>10840</v>
      </c>
      <c r="C31" s="175">
        <f t="shared" si="2"/>
        <v>0.18294741105785459</v>
      </c>
      <c r="D31" s="78">
        <f>B31/National!B31</f>
        <v>8.4263549018998157E-3</v>
      </c>
      <c r="E31" s="51"/>
      <c r="F31" s="163" t="s">
        <v>16</v>
      </c>
      <c r="G31" s="168">
        <v>386710</v>
      </c>
      <c r="H31" s="92">
        <f>G31/G$38</f>
        <v>0.11819379368732483</v>
      </c>
      <c r="I31" s="112">
        <f>+G31/National!G31</f>
        <v>9.154670539100275E-3</v>
      </c>
    </row>
    <row r="32" spans="1:9">
      <c r="A32" s="146" t="s">
        <v>94</v>
      </c>
      <c r="B32" s="157">
        <f>545+83</f>
        <v>628</v>
      </c>
      <c r="C32" s="175">
        <f t="shared" si="2"/>
        <v>1.0598798352798217E-2</v>
      </c>
      <c r="D32" s="78">
        <f>B32/National!B32</f>
        <v>1.1014258905238789E-2</v>
      </c>
      <c r="E32" s="51"/>
      <c r="F32" s="163" t="s">
        <v>17</v>
      </c>
      <c r="G32" s="169">
        <v>812563</v>
      </c>
      <c r="H32" s="106">
        <f t="shared" ref="H32:H37" si="3">G32/G$38</f>
        <v>0.24835122851737407</v>
      </c>
      <c r="I32" s="113">
        <f>+G32/National!G32</f>
        <v>1.3061145484398398E-2</v>
      </c>
    </row>
    <row r="33" spans="1:9">
      <c r="A33" s="146" t="s">
        <v>95</v>
      </c>
      <c r="B33" s="150">
        <f>7063+14</f>
        <v>7077</v>
      </c>
      <c r="C33" s="175">
        <f t="shared" si="2"/>
        <v>0.11943900627826909</v>
      </c>
      <c r="D33" s="78">
        <f>B33/National!B33</f>
        <v>5.3804397408995529E-2</v>
      </c>
      <c r="E33" s="51"/>
      <c r="F33" s="163" t="s">
        <v>18</v>
      </c>
      <c r="G33" s="169">
        <v>718272</v>
      </c>
      <c r="H33" s="106">
        <f t="shared" si="3"/>
        <v>0.21953218840832195</v>
      </c>
      <c r="I33" s="113">
        <f>+G33/National!G33</f>
        <v>2.2610400931749781E-2</v>
      </c>
    </row>
    <row r="34" spans="1:9">
      <c r="A34" s="9" t="s">
        <v>1</v>
      </c>
      <c r="B34" s="154">
        <f>SUM(B29:B33)</f>
        <v>59252</v>
      </c>
      <c r="C34" s="176">
        <f>SUM(C29:C33)</f>
        <v>1</v>
      </c>
      <c r="D34" s="180">
        <f>B34/National!B34</f>
        <v>1.4656294894982843E-2</v>
      </c>
      <c r="E34" s="51"/>
      <c r="F34" s="163" t="s">
        <v>19</v>
      </c>
      <c r="G34" s="169">
        <v>14357</v>
      </c>
      <c r="H34" s="106">
        <f t="shared" si="3"/>
        <v>4.3880641720382783E-3</v>
      </c>
      <c r="I34" s="113">
        <f>+G34/National!G34</f>
        <v>1.6717598459982796E-3</v>
      </c>
    </row>
    <row r="35" spans="1:9">
      <c r="B35" s="49"/>
      <c r="C35" s="96"/>
      <c r="D35" s="96"/>
      <c r="E35" s="51"/>
      <c r="F35" s="163" t="s">
        <v>20</v>
      </c>
      <c r="G35" s="169">
        <v>260249</v>
      </c>
      <c r="H35" s="106">
        <f t="shared" si="3"/>
        <v>7.9542335634797651E-2</v>
      </c>
      <c r="I35" s="113">
        <f>+G35/National!G35</f>
        <v>1.9520543604036496E-2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218413</v>
      </c>
      <c r="H36" s="106">
        <f t="shared" si="3"/>
        <v>6.6755607718004914E-2</v>
      </c>
      <c r="I36" s="113">
        <f>+G36/National!G36</f>
        <v>1.3805633184794658E-2</v>
      </c>
    </row>
    <row r="37" spans="1:9">
      <c r="A37" s="146" t="s">
        <v>5</v>
      </c>
      <c r="B37" s="149">
        <f>2263+861</f>
        <v>3124</v>
      </c>
      <c r="C37" s="174">
        <f>B37/B$43</f>
        <v>2.5523918460721436E-2</v>
      </c>
      <c r="D37" s="77">
        <f>B37/National!B37</f>
        <v>1.4626289866471898E-2</v>
      </c>
      <c r="E37" s="51"/>
      <c r="F37" s="163" t="s">
        <v>22</v>
      </c>
      <c r="G37" s="170">
        <v>861266</v>
      </c>
      <c r="H37" s="106">
        <f t="shared" si="3"/>
        <v>0.26323678186213834</v>
      </c>
      <c r="I37" s="114">
        <f>+G37/National!G37</f>
        <v>3.3569550743881578E-2</v>
      </c>
    </row>
    <row r="38" spans="1:9">
      <c r="A38" s="146" t="s">
        <v>7</v>
      </c>
      <c r="B38" s="157">
        <f>6273+2397</f>
        <v>8670</v>
      </c>
      <c r="C38" s="175">
        <f t="shared" ref="C38:C42" si="4">B38/B$43</f>
        <v>7.0836226970055968E-2</v>
      </c>
      <c r="D38" s="78">
        <f>B38/National!B38</f>
        <v>1.8156383633705954E-2</v>
      </c>
      <c r="E38" s="51"/>
      <c r="F38" s="47" t="s">
        <v>1</v>
      </c>
      <c r="G38" s="187">
        <f>SUM(G31:G37)</f>
        <v>3271830</v>
      </c>
      <c r="H38" s="188">
        <f>SUM(H31:H37)</f>
        <v>1</v>
      </c>
      <c r="I38" s="188">
        <f>+G38/National!G39</f>
        <v>1.625513202846364E-2</v>
      </c>
    </row>
    <row r="39" spans="1:9">
      <c r="A39" s="146" t="s">
        <v>6</v>
      </c>
      <c r="B39" s="157">
        <f>4844+2594</f>
        <v>7438</v>
      </c>
      <c r="C39" s="175">
        <f t="shared" si="4"/>
        <v>6.0770456309489768E-2</v>
      </c>
      <c r="D39" s="78">
        <f>B39/National!B39</f>
        <v>1.3457937161312501E-2</v>
      </c>
      <c r="E39" s="51"/>
      <c r="H39" s="87"/>
      <c r="I39" s="87"/>
    </row>
    <row r="40" spans="1:9" ht="23.25">
      <c r="A40" s="146" t="s">
        <v>30</v>
      </c>
      <c r="B40" s="157">
        <f>16706+14869+3804</f>
        <v>35379</v>
      </c>
      <c r="C40" s="175">
        <f t="shared" si="4"/>
        <v>0.28905592548715225</v>
      </c>
      <c r="D40" s="78">
        <f>B40/National!B40</f>
        <v>2.199100692817104E-2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49542+17998</f>
        <v>67540</v>
      </c>
      <c r="C41" s="175">
        <f t="shared" si="4"/>
        <v>0.55181992728461127</v>
      </c>
      <c r="D41" s="78">
        <f>B41/National!B41</f>
        <v>1.2106971564929148E-2</v>
      </c>
      <c r="E41" s="51"/>
      <c r="F41" s="163" t="s">
        <v>38</v>
      </c>
      <c r="G41" s="168">
        <v>1325560</v>
      </c>
      <c r="H41" s="189">
        <f>G41/G$47</f>
        <v>0.47544426291541203</v>
      </c>
      <c r="I41" s="113">
        <f>+G41/National!G42</f>
        <v>1.4616720082819406E-2</v>
      </c>
    </row>
    <row r="42" spans="1:9">
      <c r="A42" s="156" t="s">
        <v>29</v>
      </c>
      <c r="B42" s="150">
        <v>244</v>
      </c>
      <c r="C42" s="175">
        <f t="shared" si="4"/>
        <v>1.9935454879692798E-3</v>
      </c>
      <c r="D42" s="78">
        <f>B42/National!B42</f>
        <v>4.622963243652899E-3</v>
      </c>
      <c r="E42" s="51"/>
      <c r="F42" s="163" t="s">
        <v>39</v>
      </c>
      <c r="G42" s="169">
        <v>795901</v>
      </c>
      <c r="H42" s="86">
        <f t="shared" ref="H42:H46" si="5">G42/G$47</f>
        <v>0.28546920871076326</v>
      </c>
      <c r="I42" s="113">
        <f>+G42/National!G43</f>
        <v>1.787109596250034E-2</v>
      </c>
    </row>
    <row r="43" spans="1:9">
      <c r="A43" s="9" t="s">
        <v>1</v>
      </c>
      <c r="B43" s="154">
        <f>SUM(B37:B42)</f>
        <v>122395</v>
      </c>
      <c r="C43" s="178">
        <f>SUM(C37:C42)</f>
        <v>0.99999999999999989</v>
      </c>
      <c r="D43" s="179">
        <f>B43/National!B43</f>
        <v>1.442662037072507E-2</v>
      </c>
      <c r="E43" s="51"/>
      <c r="F43" s="163" t="s">
        <v>40</v>
      </c>
      <c r="G43" s="169">
        <v>220174</v>
      </c>
      <c r="H43" s="86">
        <f t="shared" si="5"/>
        <v>7.8970748320059403E-2</v>
      </c>
      <c r="I43" s="113">
        <f>+G43/National!G44</f>
        <v>1.6805924749875488E-2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158636</v>
      </c>
      <c r="H44" s="86">
        <f t="shared" si="5"/>
        <v>5.6898651205414548E-2</v>
      </c>
      <c r="I44" s="113">
        <f>+G44/National!G45</f>
        <v>1.0775064849675768E-2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57751</v>
      </c>
      <c r="H45" s="86">
        <f t="shared" si="5"/>
        <v>2.0713797661085099E-2</v>
      </c>
      <c r="I45" s="113">
        <f>+G45/National!G46</f>
        <v>6.9421813458703154E-3</v>
      </c>
    </row>
    <row r="46" spans="1:9">
      <c r="A46" s="8" t="s">
        <v>3</v>
      </c>
      <c r="B46" s="52">
        <v>14748</v>
      </c>
      <c r="C46" s="93">
        <f>B46/B$48</f>
        <v>0.44065973467192543</v>
      </c>
      <c r="D46" s="77">
        <f>B46/National!B48</f>
        <v>1.4890682519905737E-2</v>
      </c>
      <c r="E46" s="51"/>
      <c r="F46" s="163" t="s">
        <v>43</v>
      </c>
      <c r="G46" s="170">
        <v>230023</v>
      </c>
      <c r="H46" s="86">
        <f t="shared" si="5"/>
        <v>8.2503331187265633E-2</v>
      </c>
      <c r="I46" s="113">
        <f>+G46/National!G47</f>
        <v>2.8875512912779691E-2</v>
      </c>
    </row>
    <row r="47" spans="1:9">
      <c r="A47" s="8" t="s">
        <v>2</v>
      </c>
      <c r="B47" s="52">
        <v>18720</v>
      </c>
      <c r="C47" s="97">
        <f>B47/B$48</f>
        <v>0.55934026532807457</v>
      </c>
      <c r="D47" s="78">
        <f>B47/National!B49</f>
        <v>9.4398088640410341E-3</v>
      </c>
      <c r="E47" s="51"/>
      <c r="F47" s="9" t="s">
        <v>1</v>
      </c>
      <c r="G47" s="191">
        <f>SUM(G41:G46)</f>
        <v>2788045</v>
      </c>
      <c r="H47" s="182">
        <f>SUM(H41:H46)</f>
        <v>0.99999999999999989</v>
      </c>
      <c r="I47" s="188">
        <f>+G47/National!G49</f>
        <v>1.536795471125821E-2</v>
      </c>
    </row>
    <row r="48" spans="1:9">
      <c r="A48" s="9" t="s">
        <v>1</v>
      </c>
      <c r="B48" s="155">
        <f>SUM(B46:B47)</f>
        <v>33468</v>
      </c>
      <c r="C48" s="165">
        <f>SUM(C46:C47)</f>
        <v>1</v>
      </c>
      <c r="D48" s="177">
        <f>B48/National!B50</f>
        <v>1.1255388835211193E-2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377759</v>
      </c>
      <c r="H50" s="189">
        <f>G50/G$52</f>
        <v>0.86454785967995895</v>
      </c>
      <c r="I50" s="113">
        <f>+G50/National!G52</f>
        <v>1.2052919142680892E-2</v>
      </c>
    </row>
    <row r="51" spans="1:9">
      <c r="A51" s="146" t="s">
        <v>5</v>
      </c>
      <c r="B51" s="149">
        <f>4109+4393</f>
        <v>8502</v>
      </c>
      <c r="C51" s="174">
        <f>B51/B$57</f>
        <v>0.25403370383650054</v>
      </c>
      <c r="D51" s="77">
        <f>B51/National!B53</f>
        <v>1.1818493955219835E-2</v>
      </c>
      <c r="E51" s="51"/>
      <c r="F51" s="163" t="s">
        <v>97</v>
      </c>
      <c r="G51" s="194">
        <v>59185</v>
      </c>
      <c r="H51" s="86">
        <f>G51/G$52</f>
        <v>0.13545214032004102</v>
      </c>
      <c r="I51" s="113">
        <f>+G51/National!G53</f>
        <v>1.1736463109709605E-2</v>
      </c>
    </row>
    <row r="52" spans="1:9">
      <c r="A52" s="146" t="s">
        <v>7</v>
      </c>
      <c r="B52" s="157">
        <f>4403+4901</f>
        <v>9304</v>
      </c>
      <c r="C52" s="175">
        <f t="shared" ref="C52:C56" si="6">B52/B$57</f>
        <v>0.2779968925540815</v>
      </c>
      <c r="D52" s="78">
        <f>B52/National!B54</f>
        <v>1.3585119446549476E-2</v>
      </c>
      <c r="E52" s="51"/>
      <c r="F52" s="60" t="s">
        <v>1</v>
      </c>
      <c r="G52" s="190">
        <f>SUM(G50:G51)</f>
        <v>436944</v>
      </c>
      <c r="H52" s="185">
        <f>SUM(H50:H51)</f>
        <v>1</v>
      </c>
      <c r="I52" s="192">
        <f>+G52/National!G54</f>
        <v>1.200905890423274E-2</v>
      </c>
    </row>
    <row r="53" spans="1:9">
      <c r="A53" s="146" t="s">
        <v>6</v>
      </c>
      <c r="B53" s="157">
        <f>2015+3632</f>
        <v>5647</v>
      </c>
      <c r="C53" s="175">
        <f t="shared" si="6"/>
        <v>0.1687283375164336</v>
      </c>
      <c r="D53" s="78">
        <f>B53/National!B55</f>
        <v>1.0674696790974806E-2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2257+577+2324</f>
        <v>5158</v>
      </c>
      <c r="C54" s="175">
        <f t="shared" si="6"/>
        <v>0.15411736584199834</v>
      </c>
      <c r="D54" s="78">
        <f>B54/National!B56</f>
        <v>1.2382756327617291E-2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1387+2129</f>
        <v>3516</v>
      </c>
      <c r="C55" s="175">
        <f t="shared" si="6"/>
        <v>0.10505557547508067</v>
      </c>
      <c r="D55" s="78">
        <f>B55/National!B57</f>
        <v>8.7662871931425499E-3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1341</v>
      </c>
      <c r="C56" s="175">
        <f t="shared" si="6"/>
        <v>4.0068124775905344E-2</v>
      </c>
      <c r="D56" s="78">
        <f>B56/National!B58</f>
        <v>6.0236093143596374E-3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33468</v>
      </c>
      <c r="C57" s="178">
        <f>SUM(C51:C56)</f>
        <v>1</v>
      </c>
      <c r="D57" s="177">
        <f>B57/National!B59</f>
        <v>1.1255388835211193E-2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0"/>
  <sheetViews>
    <sheetView topLeftCell="A2"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  <col min="8" max="9" width="8.7109375" customWidth="1"/>
  </cols>
  <sheetData>
    <row r="1" spans="1:14" ht="24.75">
      <c r="A1" s="6" t="s">
        <v>26</v>
      </c>
      <c r="B1" s="16">
        <v>2008</v>
      </c>
      <c r="C1" s="16"/>
      <c r="D1" s="16"/>
      <c r="E1" s="7"/>
      <c r="F1" s="11"/>
      <c r="G1" s="7"/>
      <c r="H1" s="7"/>
      <c r="I1" s="23"/>
      <c r="J1" s="23"/>
      <c r="K1" s="23"/>
      <c r="L1" s="23"/>
    </row>
    <row r="2" spans="1:14" ht="15.75">
      <c r="A2" s="12" t="s">
        <v>24</v>
      </c>
      <c r="B2" s="13"/>
      <c r="C2" s="13"/>
      <c r="D2" s="13"/>
      <c r="E2" s="14"/>
      <c r="F2" s="15" t="s">
        <v>23</v>
      </c>
      <c r="G2" s="7"/>
      <c r="H2" s="7"/>
      <c r="I2" s="23"/>
      <c r="J2" s="23"/>
      <c r="K2" s="23"/>
      <c r="L2" s="23"/>
    </row>
    <row r="3" spans="1:14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  <c r="J3" s="3"/>
      <c r="K3" s="3"/>
      <c r="L3" s="1"/>
    </row>
    <row r="4" spans="1:14">
      <c r="A4" s="8" t="s">
        <v>210</v>
      </c>
      <c r="B4" s="50">
        <v>6500180</v>
      </c>
      <c r="C4" s="99"/>
      <c r="D4" s="77">
        <f>B4/National!B4</f>
        <v>2.1377971125172764E-2</v>
      </c>
      <c r="E4" s="1"/>
      <c r="F4" s="146" t="s">
        <v>10</v>
      </c>
      <c r="G4" s="195">
        <v>2174005</v>
      </c>
      <c r="H4" s="189">
        <f>G4/G$6</f>
        <v>0.50375743324360411</v>
      </c>
      <c r="I4" s="112">
        <f>+G4/National!G4</f>
        <v>2.0980926104441033E-2</v>
      </c>
      <c r="J4" s="3"/>
      <c r="K4" s="3"/>
      <c r="L4" s="1"/>
    </row>
    <row r="5" spans="1:14">
      <c r="A5" s="8" t="s">
        <v>167</v>
      </c>
      <c r="B5" s="50">
        <f>111063+2572</f>
        <v>113635</v>
      </c>
      <c r="C5" s="100"/>
      <c r="D5" s="79">
        <f>B5/National!B5</f>
        <v>3.2123503967981373E-2</v>
      </c>
      <c r="E5" s="1"/>
      <c r="F5" s="146" t="s">
        <v>11</v>
      </c>
      <c r="G5" s="196">
        <v>2141574</v>
      </c>
      <c r="H5" s="86">
        <f>G5/G$6</f>
        <v>0.49624256675639583</v>
      </c>
      <c r="I5" s="113">
        <f>+G5/National!G5</f>
        <v>2.045390747774271E-2</v>
      </c>
      <c r="J5" s="3"/>
      <c r="K5" s="3"/>
      <c r="L5" s="1"/>
    </row>
    <row r="6" spans="1:14">
      <c r="A6" s="1"/>
      <c r="B6" s="51"/>
      <c r="C6" s="96"/>
      <c r="D6" s="96"/>
      <c r="E6" s="1"/>
      <c r="F6" s="9" t="s">
        <v>1</v>
      </c>
      <c r="G6" s="154">
        <f>SUM(G4:G5)</f>
        <v>4315579</v>
      </c>
      <c r="H6" s="182">
        <f>SUM(H4:H5)</f>
        <v>1</v>
      </c>
      <c r="I6" s="183">
        <f>+G6/National!G6</f>
        <v>2.0716045265249595E-2</v>
      </c>
      <c r="J6" s="3"/>
      <c r="K6" s="3"/>
      <c r="L6" s="1"/>
    </row>
    <row r="7" spans="1:14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  <c r="J7" s="3"/>
      <c r="K7" s="3"/>
      <c r="L7" s="1"/>
      <c r="M7" s="1"/>
    </row>
    <row r="8" spans="1:14">
      <c r="A8" s="146" t="s">
        <v>168</v>
      </c>
      <c r="B8" s="149">
        <v>2720167</v>
      </c>
      <c r="C8" s="174">
        <f>B8/B10</f>
        <v>0.76849277025482732</v>
      </c>
      <c r="D8" s="77">
        <f>B8/National!B8</f>
        <v>1.9912481670752585E-2</v>
      </c>
      <c r="E8" s="1"/>
      <c r="F8" s="146" t="s">
        <v>32</v>
      </c>
      <c r="G8" s="206">
        <f>18/100</f>
        <v>0.18</v>
      </c>
      <c r="H8" s="87"/>
      <c r="I8" s="87"/>
      <c r="J8" s="1"/>
      <c r="K8" s="1"/>
      <c r="L8" s="1"/>
      <c r="M8" s="1"/>
    </row>
    <row r="9" spans="1:14">
      <c r="A9" s="146" t="s">
        <v>169</v>
      </c>
      <c r="B9" s="150">
        <v>819446</v>
      </c>
      <c r="C9" s="175">
        <f>B9/B10</f>
        <v>0.23150722974517271</v>
      </c>
      <c r="D9" s="78">
        <f>B9/National!B9</f>
        <v>2.1250963131441241E-2</v>
      </c>
      <c r="E9" s="1"/>
      <c r="F9" s="146" t="s">
        <v>31</v>
      </c>
      <c r="G9" s="207">
        <f>26/100</f>
        <v>0.26</v>
      </c>
      <c r="H9" s="87"/>
      <c r="I9" s="87"/>
      <c r="J9" s="1"/>
      <c r="K9" s="1"/>
      <c r="L9" s="1"/>
      <c r="M9" s="1"/>
    </row>
    <row r="10" spans="1:14">
      <c r="A10" s="9" t="s">
        <v>9</v>
      </c>
      <c r="B10" s="152">
        <f>SUM(B8:B9)</f>
        <v>3539613</v>
      </c>
      <c r="C10" s="176">
        <f>SUM(C8:C9)</f>
        <v>1</v>
      </c>
      <c r="D10" s="165"/>
      <c r="E10" s="1"/>
      <c r="F10" s="146" t="s">
        <v>33</v>
      </c>
      <c r="G10" s="205">
        <f>18/100</f>
        <v>0.18</v>
      </c>
      <c r="H10" s="87"/>
      <c r="I10" s="87"/>
      <c r="J10" s="1"/>
      <c r="K10" s="1"/>
      <c r="L10" s="1"/>
      <c r="M10" s="1"/>
    </row>
    <row r="11" spans="1:14">
      <c r="A11" s="146" t="s">
        <v>170</v>
      </c>
      <c r="B11" s="149">
        <v>69168</v>
      </c>
      <c r="C11" s="93">
        <f>B11/(B12+B11)</f>
        <v>2.542786926528354E-2</v>
      </c>
      <c r="D11" s="77">
        <f>B11/National!B11</f>
        <v>1.8340158392277026E-2</v>
      </c>
      <c r="E11" s="1"/>
      <c r="G11" s="49"/>
      <c r="H11" s="87"/>
      <c r="I11" s="86"/>
      <c r="J11" s="1"/>
      <c r="K11" s="1"/>
      <c r="L11" s="1"/>
      <c r="M11" s="1"/>
    </row>
    <row r="12" spans="1:14" ht="23.25">
      <c r="A12" s="146" t="s">
        <v>171</v>
      </c>
      <c r="B12" s="150">
        <v>2650997</v>
      </c>
      <c r="C12" s="95">
        <f>B12/(B11+B12)</f>
        <v>0.97457213073471649</v>
      </c>
      <c r="D12" s="79">
        <f>B12/National!B12</f>
        <v>2.0052186270937068E-2</v>
      </c>
      <c r="E12" s="1"/>
      <c r="F12" s="67" t="s">
        <v>189</v>
      </c>
      <c r="G12" s="51"/>
      <c r="H12" s="89" t="s">
        <v>197</v>
      </c>
      <c r="I12" s="90" t="s">
        <v>198</v>
      </c>
      <c r="J12" s="1"/>
      <c r="K12" s="1"/>
      <c r="L12" s="1"/>
      <c r="M12" s="1"/>
    </row>
    <row r="13" spans="1:14">
      <c r="A13" s="1"/>
      <c r="B13" s="51"/>
      <c r="C13" s="96"/>
      <c r="D13" s="96"/>
      <c r="E13" s="1"/>
      <c r="F13" s="146" t="s">
        <v>34</v>
      </c>
      <c r="G13" s="149">
        <v>2234963</v>
      </c>
      <c r="H13" s="189">
        <f>G13/G$18</f>
        <v>0.49590709010215189</v>
      </c>
      <c r="I13" s="92">
        <f>+G13/National!G13</f>
        <v>1.6304096584061598E-2</v>
      </c>
      <c r="J13" s="1"/>
      <c r="K13" s="1"/>
      <c r="L13" s="1"/>
      <c r="M13" s="1"/>
      <c r="N13" s="1"/>
    </row>
    <row r="14" spans="1:14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2133349</v>
      </c>
      <c r="H14" s="86">
        <f>G14/G$18</f>
        <v>0.47336036201151233</v>
      </c>
      <c r="I14" s="106">
        <f>+G14/National!G14</f>
        <v>1.9351580996380249E-2</v>
      </c>
      <c r="J14" s="1"/>
      <c r="K14" s="1"/>
      <c r="L14" s="1"/>
      <c r="M14" s="1"/>
      <c r="N14" s="1"/>
    </row>
    <row r="15" spans="1:14">
      <c r="A15" s="146" t="s">
        <v>3</v>
      </c>
      <c r="B15" s="149">
        <v>37522</v>
      </c>
      <c r="C15" s="174">
        <f>B15/B$17</f>
        <v>0.62082430218898399</v>
      </c>
      <c r="D15" s="77">
        <f>B15/National!B15</f>
        <v>1.2602998493901039E-2</v>
      </c>
      <c r="E15" s="3"/>
      <c r="F15" s="146" t="s">
        <v>13</v>
      </c>
      <c r="G15" s="150">
        <v>4920</v>
      </c>
      <c r="H15" s="86">
        <f>G15/G$18</f>
        <v>1.0916793178690598E-3</v>
      </c>
      <c r="I15" s="106">
        <f>+G15/National!G15</f>
        <v>5.8341673504816744E-3</v>
      </c>
      <c r="J15" s="1"/>
      <c r="K15" s="1"/>
      <c r="L15" s="1"/>
      <c r="M15" s="1"/>
    </row>
    <row r="16" spans="1:14">
      <c r="A16" s="146" t="s">
        <v>2</v>
      </c>
      <c r="B16" s="150">
        <v>22917</v>
      </c>
      <c r="C16" s="175">
        <f>B16/B$17</f>
        <v>0.37917569781101607</v>
      </c>
      <c r="D16" s="78">
        <f>B16/National!B16</f>
        <v>2.1507404696210371E-2</v>
      </c>
      <c r="E16" s="1"/>
      <c r="F16" s="9" t="s">
        <v>1</v>
      </c>
      <c r="G16" s="162">
        <f>SUM(G13:G15)</f>
        <v>4373232</v>
      </c>
      <c r="H16" s="105"/>
      <c r="I16" s="106"/>
      <c r="J16" s="1"/>
      <c r="K16" s="1"/>
      <c r="L16" s="1"/>
      <c r="M16" s="1"/>
    </row>
    <row r="17" spans="1:14">
      <c r="A17" s="9" t="s">
        <v>1</v>
      </c>
      <c r="B17" s="154">
        <f>SUM(B15:B16)</f>
        <v>60439</v>
      </c>
      <c r="C17" s="176">
        <f>SUM(C15:C16)</f>
        <v>1</v>
      </c>
      <c r="D17" s="177">
        <f>B17/National!B17</f>
        <v>1.4949905609226153E-2</v>
      </c>
      <c r="E17" s="1"/>
      <c r="F17" s="108" t="s">
        <v>35</v>
      </c>
      <c r="G17" s="117">
        <v>133586</v>
      </c>
      <c r="H17" s="105">
        <f>G17/G$18</f>
        <v>2.9640868568466709E-2</v>
      </c>
      <c r="I17" s="106">
        <f>+G17/National!G17</f>
        <v>1.7334279378973288E-2</v>
      </c>
      <c r="J17" s="1"/>
      <c r="K17" s="1"/>
      <c r="L17" s="1"/>
      <c r="M17" s="1"/>
    </row>
    <row r="18" spans="1:14">
      <c r="A18" s="1"/>
      <c r="B18" s="1"/>
      <c r="C18" s="96"/>
      <c r="D18" s="96"/>
      <c r="E18" s="1"/>
      <c r="F18" s="109" t="s">
        <v>196</v>
      </c>
      <c r="G18" s="184">
        <f>SUM(G16:G17)</f>
        <v>4506818</v>
      </c>
      <c r="H18" s="185">
        <f>SUM(H13:H17)</f>
        <v>0.99999999999999989</v>
      </c>
      <c r="I18" s="186">
        <f>+G18/National!G18</f>
        <v>1.7613619527218228E-2</v>
      </c>
      <c r="J18" s="1"/>
      <c r="K18" s="1"/>
      <c r="L18" s="1"/>
      <c r="M18" s="1"/>
    </row>
    <row r="19" spans="1:14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  <c r="J19" s="1"/>
      <c r="K19" s="1"/>
      <c r="L19" s="1"/>
      <c r="M19" s="1"/>
    </row>
    <row r="20" spans="1:14">
      <c r="A20" s="146" t="s">
        <v>5</v>
      </c>
      <c r="B20" s="149">
        <f>980+188</f>
        <v>1168</v>
      </c>
      <c r="C20" s="174">
        <f>B20/B$26</f>
        <v>1.9324950363997354E-2</v>
      </c>
      <c r="D20" s="77">
        <f>B20/National!B20</f>
        <v>2.4983422814485252E-2</v>
      </c>
      <c r="E20" s="51"/>
      <c r="F20" s="163" t="s">
        <v>3</v>
      </c>
      <c r="G20" s="108">
        <v>471</v>
      </c>
      <c r="H20" s="189">
        <f>G20/G$23</f>
        <v>0.50266808964781218</v>
      </c>
      <c r="I20" s="92">
        <f>+G20/National!G20</f>
        <v>2.2636612678425531E-2</v>
      </c>
      <c r="J20" s="1"/>
      <c r="K20" s="1"/>
      <c r="L20" s="1"/>
      <c r="M20" s="1"/>
    </row>
    <row r="21" spans="1:14">
      <c r="A21" s="146" t="s">
        <v>7</v>
      </c>
      <c r="B21" s="157">
        <f>1167+1399</f>
        <v>2566</v>
      </c>
      <c r="C21" s="175">
        <f t="shared" ref="C21:C25" si="0">B21/B$26</f>
        <v>4.245532759761747E-2</v>
      </c>
      <c r="D21" s="78">
        <f>B21/National!B21</f>
        <v>1.6087169134703396E-2</v>
      </c>
      <c r="E21" s="51"/>
      <c r="F21" s="163" t="s">
        <v>2</v>
      </c>
      <c r="G21" s="198">
        <v>464</v>
      </c>
      <c r="H21" s="86">
        <f t="shared" ref="H21:H22" si="1">G21/G$23</f>
        <v>0.49519743863393811</v>
      </c>
      <c r="I21" s="106">
        <f>+G21/National!G21</f>
        <v>2.9079969917272498E-2</v>
      </c>
      <c r="J21" s="1"/>
      <c r="K21" s="1"/>
      <c r="L21" s="1"/>
      <c r="M21" s="1"/>
    </row>
    <row r="22" spans="1:14">
      <c r="A22" s="146" t="s">
        <v>6</v>
      </c>
      <c r="B22" s="157">
        <f>1358+1806</f>
        <v>3164</v>
      </c>
      <c r="C22" s="175">
        <f t="shared" si="0"/>
        <v>5.2349437458636662E-2</v>
      </c>
      <c r="D22" s="78">
        <f>B22/National!B22</f>
        <v>1.3118016542631481E-2</v>
      </c>
      <c r="E22" s="51"/>
      <c r="F22" s="163" t="s">
        <v>28</v>
      </c>
      <c r="G22" s="181">
        <v>2</v>
      </c>
      <c r="H22" s="86">
        <f t="shared" si="1"/>
        <v>2.1344717182497333E-3</v>
      </c>
      <c r="I22" s="106">
        <f>+G22/National!G22</f>
        <v>4.0160642570281121E-3</v>
      </c>
      <c r="J22" s="1"/>
      <c r="K22" s="1"/>
      <c r="L22" s="1"/>
      <c r="M22" s="1"/>
    </row>
    <row r="23" spans="1:14">
      <c r="A23" s="146" t="s">
        <v>30</v>
      </c>
      <c r="B23" s="157">
        <f>4302+2191+1639</f>
        <v>8132</v>
      </c>
      <c r="C23" s="175">
        <f t="shared" si="0"/>
        <v>0.13454665784248843</v>
      </c>
      <c r="D23" s="78">
        <f>B23/National!B23</f>
        <v>1.0232959643230606E-2</v>
      </c>
      <c r="E23" s="51"/>
      <c r="F23" s="9" t="s">
        <v>1</v>
      </c>
      <c r="G23" s="197">
        <f>SUM(G20:G22)</f>
        <v>937</v>
      </c>
      <c r="H23" s="132">
        <f>SUM(H20:H22)</f>
        <v>1</v>
      </c>
      <c r="I23" s="133">
        <f>+G23/National!G23</f>
        <v>2.514693647513486E-2</v>
      </c>
      <c r="J23" s="1"/>
      <c r="K23" s="1"/>
      <c r="L23" s="1"/>
      <c r="M23" s="1"/>
    </row>
    <row r="24" spans="1:14">
      <c r="A24" s="146" t="s">
        <v>8</v>
      </c>
      <c r="B24" s="157">
        <f>27525+17709</f>
        <v>45234</v>
      </c>
      <c r="C24" s="175">
        <f t="shared" si="0"/>
        <v>0.74841164791528791</v>
      </c>
      <c r="D24" s="78">
        <f>B24/National!B24</f>
        <v>1.6216948744202854E-2</v>
      </c>
      <c r="E24" s="51"/>
      <c r="F24" s="51"/>
      <c r="G24" s="51"/>
      <c r="H24" s="87"/>
      <c r="I24" s="87"/>
      <c r="J24" s="1"/>
      <c r="K24" s="1"/>
      <c r="L24" s="1"/>
      <c r="M24" s="1"/>
    </row>
    <row r="25" spans="1:14" ht="15.75">
      <c r="A25" s="156" t="s">
        <v>29</v>
      </c>
      <c r="B25" s="150">
        <v>176</v>
      </c>
      <c r="C25" s="175">
        <f t="shared" si="0"/>
        <v>2.9119788219722038E-3</v>
      </c>
      <c r="D25" s="78">
        <f>B25/National!B25</f>
        <v>1.5527128363475959E-2</v>
      </c>
      <c r="E25" s="51"/>
      <c r="F25" s="68" t="s">
        <v>37</v>
      </c>
      <c r="G25" s="51"/>
      <c r="H25" s="87"/>
      <c r="I25" s="87"/>
      <c r="J25" s="1"/>
      <c r="K25" s="1"/>
      <c r="L25" s="1"/>
      <c r="M25" s="1"/>
    </row>
    <row r="26" spans="1:14" ht="23.25">
      <c r="A26" s="22" t="s">
        <v>1</v>
      </c>
      <c r="B26" s="154">
        <f>SUM(B20:B25)</f>
        <v>60440</v>
      </c>
      <c r="C26" s="176">
        <f>SUM(C20:C25)</f>
        <v>1</v>
      </c>
      <c r="D26" s="177">
        <f>B26/National!B26</f>
        <v>1.4950115984602667E-2</v>
      </c>
      <c r="E26" s="51"/>
      <c r="F26" s="5" t="s">
        <v>191</v>
      </c>
      <c r="G26" s="55"/>
      <c r="H26" s="111"/>
      <c r="I26" s="118" t="s">
        <v>198</v>
      </c>
      <c r="J26" s="1"/>
      <c r="K26" s="1"/>
      <c r="L26" s="1"/>
      <c r="M26" s="1"/>
    </row>
    <row r="27" spans="1:14">
      <c r="B27" s="49"/>
      <c r="C27" s="96"/>
      <c r="D27" s="96"/>
      <c r="E27" s="51"/>
      <c r="F27" s="53" t="s">
        <v>14</v>
      </c>
      <c r="G27" s="56">
        <v>3023799</v>
      </c>
      <c r="H27" s="87"/>
      <c r="I27" s="113">
        <f>+G27/National!G27</f>
        <v>2.1899020092759524E-2</v>
      </c>
      <c r="J27" s="1"/>
      <c r="K27" s="1"/>
      <c r="L27" s="1"/>
      <c r="M27" s="1"/>
    </row>
    <row r="28" spans="1:14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2806268</v>
      </c>
      <c r="H28" s="87"/>
      <c r="I28" s="114">
        <f>+G28/National!G28</f>
        <v>2.1102827717912848E-2</v>
      </c>
      <c r="J28" s="1"/>
      <c r="K28" s="1"/>
      <c r="L28" s="1"/>
      <c r="M28" s="1"/>
    </row>
    <row r="29" spans="1:14">
      <c r="A29" s="146" t="s">
        <v>91</v>
      </c>
      <c r="B29" s="149">
        <f>5774+981</f>
        <v>6755</v>
      </c>
      <c r="C29" s="174">
        <f>B29/B$34</f>
        <v>0.11176373262739907</v>
      </c>
      <c r="D29" s="77">
        <f>B29/National!B29</f>
        <v>8.6632218977521786E-3</v>
      </c>
      <c r="E29" s="51"/>
      <c r="F29" s="51"/>
      <c r="G29" s="51"/>
      <c r="H29" s="87"/>
      <c r="I29" s="87"/>
      <c r="J29" s="1"/>
      <c r="K29" s="1"/>
      <c r="L29" s="1"/>
      <c r="M29" s="1"/>
      <c r="N29" s="1"/>
    </row>
    <row r="30" spans="1:14" ht="15" customHeight="1">
      <c r="A30" s="146" t="s">
        <v>92</v>
      </c>
      <c r="B30" s="157">
        <f>15359+2804</f>
        <v>18163</v>
      </c>
      <c r="C30" s="175">
        <f t="shared" ref="C30:C33" si="2">B30/B$34</f>
        <v>0.30051290536068831</v>
      </c>
      <c r="D30" s="78">
        <f>B30/National!B30</f>
        <v>1.0158016068937823E-2</v>
      </c>
      <c r="E30" s="51"/>
      <c r="F30" s="5" t="s">
        <v>184</v>
      </c>
      <c r="G30" s="51"/>
      <c r="H30" s="89"/>
      <c r="I30" s="124" t="s">
        <v>198</v>
      </c>
      <c r="J30" s="1"/>
      <c r="K30" s="1"/>
      <c r="L30" s="1"/>
      <c r="M30" s="1"/>
      <c r="N30" s="1"/>
    </row>
    <row r="31" spans="1:14">
      <c r="A31" s="146" t="s">
        <v>93</v>
      </c>
      <c r="B31" s="157">
        <f>3276+18613</f>
        <v>21889</v>
      </c>
      <c r="C31" s="175">
        <f t="shared" si="2"/>
        <v>0.36216082064857708</v>
      </c>
      <c r="D31" s="78">
        <f>B31/National!B31</f>
        <v>1.7015173657535524E-2</v>
      </c>
      <c r="E31" s="51"/>
      <c r="F31" s="163" t="s">
        <v>16</v>
      </c>
      <c r="G31" s="168">
        <v>396834</v>
      </c>
      <c r="H31" s="92">
        <f>G31/G$38</f>
        <v>7.7517920087981557E-2</v>
      </c>
      <c r="I31" s="112">
        <f>+G31/National!G31</f>
        <v>9.3943382087696686E-3</v>
      </c>
      <c r="J31" s="1"/>
      <c r="K31" s="1"/>
      <c r="L31" s="1"/>
      <c r="M31" s="1"/>
      <c r="N31" s="1"/>
    </row>
    <row r="32" spans="1:14">
      <c r="A32" s="146" t="s">
        <v>94</v>
      </c>
      <c r="B32" s="157">
        <f>202+185</f>
        <v>387</v>
      </c>
      <c r="C32" s="175">
        <f t="shared" si="2"/>
        <v>6.4030443414956981E-3</v>
      </c>
      <c r="D32" s="78">
        <f>B32/National!B32</f>
        <v>6.7874493572092536E-3</v>
      </c>
      <c r="E32" s="51"/>
      <c r="F32" s="163" t="s">
        <v>17</v>
      </c>
      <c r="G32" s="169">
        <v>1038271</v>
      </c>
      <c r="H32" s="106">
        <f t="shared" ref="H32:H37" si="3">G32/G$38</f>
        <v>0.20281681611875166</v>
      </c>
      <c r="I32" s="113">
        <f>+G32/National!G32</f>
        <v>1.6689178049248868E-2</v>
      </c>
      <c r="J32" s="1"/>
      <c r="K32" s="1"/>
      <c r="L32" s="1"/>
      <c r="M32" s="1"/>
      <c r="N32" s="1"/>
    </row>
    <row r="33" spans="1:14">
      <c r="A33" s="146" t="s">
        <v>95</v>
      </c>
      <c r="B33" s="150">
        <f>12911+335</f>
        <v>13246</v>
      </c>
      <c r="C33" s="175">
        <f t="shared" si="2"/>
        <v>0.21915949702183984</v>
      </c>
      <c r="D33" s="78">
        <f>B33/National!B33</f>
        <v>0.1007055317337226</v>
      </c>
      <c r="E33" s="51"/>
      <c r="F33" s="163" t="s">
        <v>18</v>
      </c>
      <c r="G33" s="169">
        <v>402686</v>
      </c>
      <c r="H33" s="106">
        <f t="shared" si="3"/>
        <v>7.8661055173067179E-2</v>
      </c>
      <c r="I33" s="113">
        <f>+G33/National!G33</f>
        <v>1.2676105861849819E-2</v>
      </c>
      <c r="J33" s="1"/>
      <c r="K33" s="1"/>
      <c r="L33" s="1"/>
      <c r="M33" s="1"/>
      <c r="N33" s="1"/>
    </row>
    <row r="34" spans="1:14">
      <c r="A34" s="9" t="s">
        <v>1</v>
      </c>
      <c r="B34" s="154">
        <f>SUM(B29:B33)</f>
        <v>60440</v>
      </c>
      <c r="C34" s="176">
        <f>SUM(C29:C33)</f>
        <v>1</v>
      </c>
      <c r="D34" s="180">
        <f>B34/National!B34</f>
        <v>1.4950152964503529E-2</v>
      </c>
      <c r="E34" s="51"/>
      <c r="F34" s="163" t="s">
        <v>19</v>
      </c>
      <c r="G34" s="169">
        <v>14677</v>
      </c>
      <c r="H34" s="106">
        <f t="shared" si="3"/>
        <v>2.8670187361246901E-3</v>
      </c>
      <c r="I34" s="113">
        <f>+G34/National!G34</f>
        <v>1.7090213317348156E-3</v>
      </c>
      <c r="J34" s="1"/>
      <c r="K34" s="1"/>
      <c r="L34" s="1"/>
      <c r="M34" s="1"/>
      <c r="N34" s="1"/>
    </row>
    <row r="35" spans="1:14">
      <c r="B35" s="49"/>
      <c r="C35" s="96"/>
      <c r="D35" s="96"/>
      <c r="E35" s="51"/>
      <c r="F35" s="163" t="s">
        <v>20</v>
      </c>
      <c r="G35" s="169">
        <v>1074644</v>
      </c>
      <c r="H35" s="106">
        <f t="shared" si="3"/>
        <v>0.20992195153396342</v>
      </c>
      <c r="I35" s="113">
        <f>+G35/National!G35</f>
        <v>8.0606016010882645E-2</v>
      </c>
      <c r="J35" s="1"/>
      <c r="K35" s="1"/>
      <c r="L35" s="1"/>
      <c r="M35" s="1"/>
      <c r="N35" s="1"/>
    </row>
    <row r="36" spans="1:14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2093100</v>
      </c>
      <c r="H36" s="106">
        <f t="shared" si="3"/>
        <v>0.40886808725097695</v>
      </c>
      <c r="I36" s="113">
        <f>+G36/National!G36</f>
        <v>0.13230243080354054</v>
      </c>
      <c r="J36" s="1"/>
      <c r="K36" s="1"/>
      <c r="L36" s="1"/>
      <c r="M36" s="1"/>
      <c r="N36" s="1"/>
    </row>
    <row r="37" spans="1:14">
      <c r="A37" s="146" t="s">
        <v>5</v>
      </c>
      <c r="B37" s="149">
        <f>3942+1017</f>
        <v>4959</v>
      </c>
      <c r="C37" s="174">
        <f>B37/B$43</f>
        <v>3.7752367611681235E-2</v>
      </c>
      <c r="D37" s="77">
        <f>B37/National!B37</f>
        <v>2.3217596494185068E-2</v>
      </c>
      <c r="E37" s="51"/>
      <c r="F37" s="163" t="s">
        <v>22</v>
      </c>
      <c r="G37" s="170">
        <v>99043</v>
      </c>
      <c r="H37" s="106">
        <f t="shared" si="3"/>
        <v>1.9347151099134541E-2</v>
      </c>
      <c r="I37" s="114">
        <f>+G37/National!G37</f>
        <v>3.8603973851588976E-3</v>
      </c>
      <c r="J37" s="1"/>
      <c r="K37" s="1"/>
    </row>
    <row r="38" spans="1:14">
      <c r="A38" s="146" t="s">
        <v>7</v>
      </c>
      <c r="B38" s="157">
        <f>3121+6152</f>
        <v>9273</v>
      </c>
      <c r="C38" s="175">
        <f t="shared" ref="C38:C42" si="4">B38/B$43</f>
        <v>7.0594415177076042E-2</v>
      </c>
      <c r="D38" s="78">
        <f>B38/National!B38</f>
        <v>1.9419163256673047E-2</v>
      </c>
      <c r="E38" s="51"/>
      <c r="F38" s="47" t="s">
        <v>1</v>
      </c>
      <c r="G38" s="187">
        <f>SUM(G31:G37)</f>
        <v>5119255</v>
      </c>
      <c r="H38" s="188">
        <f>SUM(H31:H37)</f>
        <v>1</v>
      </c>
      <c r="I38" s="188">
        <f>+G38/National!G39</f>
        <v>2.5433523719867054E-2</v>
      </c>
      <c r="J38" s="1"/>
      <c r="K38" s="1"/>
    </row>
    <row r="39" spans="1:14">
      <c r="A39" s="146" t="s">
        <v>6</v>
      </c>
      <c r="B39" s="157">
        <f>2994+5562</f>
        <v>8556</v>
      </c>
      <c r="C39" s="175">
        <f t="shared" si="4"/>
        <v>6.5135966381436705E-2</v>
      </c>
      <c r="D39" s="78">
        <f>B39/National!B39</f>
        <v>1.5480789237992709E-2</v>
      </c>
      <c r="E39" s="51"/>
      <c r="H39" s="87"/>
      <c r="I39" s="87"/>
      <c r="J39" s="1"/>
      <c r="K39" s="1"/>
    </row>
    <row r="40" spans="1:14" ht="23.25">
      <c r="A40" s="146" t="s">
        <v>30</v>
      </c>
      <c r="B40" s="157">
        <f>4382+8821+3683</f>
        <v>16886</v>
      </c>
      <c r="C40" s="175">
        <f t="shared" si="4"/>
        <v>0.12855141752184901</v>
      </c>
      <c r="D40" s="78">
        <f>B40/National!B40</f>
        <v>1.0496061024593578E-2</v>
      </c>
      <c r="E40" s="51"/>
      <c r="F40" s="5" t="s">
        <v>185</v>
      </c>
      <c r="G40" s="51"/>
      <c r="H40" s="87" t="s">
        <v>197</v>
      </c>
      <c r="I40" s="124" t="s">
        <v>198</v>
      </c>
      <c r="J40" s="1"/>
      <c r="K40" s="1"/>
    </row>
    <row r="41" spans="1:14">
      <c r="A41" s="146" t="s">
        <v>8</v>
      </c>
      <c r="B41" s="157">
        <f>55050+35419</f>
        <v>90469</v>
      </c>
      <c r="C41" s="175">
        <f t="shared" si="4"/>
        <v>0.6887313864612199</v>
      </c>
      <c r="D41" s="78">
        <f>B41/National!B41</f>
        <v>1.621713962848053E-2</v>
      </c>
      <c r="E41" s="51"/>
      <c r="F41" s="163" t="s">
        <v>38</v>
      </c>
      <c r="G41" s="168">
        <v>1590122</v>
      </c>
      <c r="H41" s="189">
        <f>G41/G$47</f>
        <v>0.57779903075290162</v>
      </c>
      <c r="I41" s="113">
        <f>+G41/National!G42</f>
        <v>1.7533999344830079E-2</v>
      </c>
      <c r="J41" s="1"/>
      <c r="K41" s="1"/>
    </row>
    <row r="42" spans="1:14">
      <c r="A42" s="156" t="s">
        <v>29</v>
      </c>
      <c r="B42" s="150">
        <v>1213</v>
      </c>
      <c r="C42" s="175">
        <f t="shared" si="4"/>
        <v>9.2344468467371113E-3</v>
      </c>
      <c r="D42" s="78">
        <f>B42/National!B42</f>
        <v>2.2982190223569534E-2</v>
      </c>
      <c r="E42" s="51"/>
      <c r="F42" s="163" t="s">
        <v>39</v>
      </c>
      <c r="G42" s="169">
        <v>522217</v>
      </c>
      <c r="H42" s="86">
        <f t="shared" ref="H42:H46" si="5">G42/G$47</f>
        <v>0.18975680887547497</v>
      </c>
      <c r="I42" s="113">
        <f>+G42/National!G43</f>
        <v>1.1725817809311761E-2</v>
      </c>
      <c r="J42" s="1"/>
      <c r="K42" s="1"/>
    </row>
    <row r="43" spans="1:14">
      <c r="A43" s="9" t="s">
        <v>1</v>
      </c>
      <c r="B43" s="154">
        <f>SUM(B37:B42)</f>
        <v>131356</v>
      </c>
      <c r="C43" s="178">
        <f>SUM(C37:C42)</f>
        <v>1</v>
      </c>
      <c r="D43" s="179">
        <f>B43/National!B43</f>
        <v>1.5482847709603842E-2</v>
      </c>
      <c r="E43" s="51"/>
      <c r="F43" s="163" t="s">
        <v>40</v>
      </c>
      <c r="G43" s="169">
        <v>453963</v>
      </c>
      <c r="H43" s="86">
        <f t="shared" si="5"/>
        <v>0.16495550743759249</v>
      </c>
      <c r="I43" s="113">
        <f>+G43/National!G44</f>
        <v>3.4651085129160236E-2</v>
      </c>
      <c r="J43" s="1"/>
      <c r="K43" s="1"/>
    </row>
    <row r="44" spans="1:14">
      <c r="A44" s="1"/>
      <c r="B44" s="49"/>
      <c r="C44" s="96"/>
      <c r="D44" s="96"/>
      <c r="E44" s="51"/>
      <c r="F44" s="163" t="s">
        <v>41</v>
      </c>
      <c r="G44" s="169">
        <v>181275</v>
      </c>
      <c r="H44" s="86">
        <f t="shared" si="5"/>
        <v>6.5869486303398256E-2</v>
      </c>
      <c r="I44" s="113">
        <f>+G44/National!G45</f>
        <v>1.2312778187958439E-2</v>
      </c>
      <c r="J44" s="1"/>
      <c r="K44" s="1"/>
    </row>
    <row r="45" spans="1:14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149277</v>
      </c>
      <c r="H45" s="86">
        <f t="shared" si="5"/>
        <v>5.4242445493931216E-2</v>
      </c>
      <c r="I45" s="113">
        <f>+G45/National!G46</f>
        <v>1.7944416629452009E-2</v>
      </c>
      <c r="J45" s="1"/>
      <c r="K45" s="1"/>
    </row>
    <row r="46" spans="1:14">
      <c r="A46" s="8" t="s">
        <v>3</v>
      </c>
      <c r="B46" s="52">
        <v>18241</v>
      </c>
      <c r="C46" s="93">
        <f>B46/B$48</f>
        <v>0.29598559096514571</v>
      </c>
      <c r="D46" s="77">
        <f>B46/National!B48</f>
        <v>1.8417476257499357E-2</v>
      </c>
      <c r="E46" s="51"/>
      <c r="F46" s="163" t="s">
        <v>43</v>
      </c>
      <c r="G46" s="170">
        <v>-144821</v>
      </c>
      <c r="H46" s="86">
        <f t="shared" si="5"/>
        <v>-5.2623278863298512E-2</v>
      </c>
      <c r="I46" s="113">
        <f>+G46/National!G47</f>
        <v>-1.8179837040390168E-2</v>
      </c>
      <c r="J46" s="1"/>
      <c r="K46" s="1"/>
    </row>
    <row r="47" spans="1:14">
      <c r="A47" s="8" t="s">
        <v>2</v>
      </c>
      <c r="B47" s="52">
        <v>43387</v>
      </c>
      <c r="C47" s="97">
        <f>B47/B$48</f>
        <v>0.70401440903485424</v>
      </c>
      <c r="D47" s="78">
        <f>B47/National!B49</f>
        <v>2.1878471537614765E-2</v>
      </c>
      <c r="E47" s="51"/>
      <c r="F47" s="9" t="s">
        <v>1</v>
      </c>
      <c r="G47" s="191">
        <f>SUM(G41:G46)</f>
        <v>2752033</v>
      </c>
      <c r="H47" s="182">
        <f>SUM(H41:H46)</f>
        <v>1</v>
      </c>
      <c r="I47" s="188">
        <f>+G47/National!G49</f>
        <v>1.5169453329443415E-2</v>
      </c>
      <c r="J47" s="1"/>
      <c r="K47" s="1"/>
    </row>
    <row r="48" spans="1:14">
      <c r="A48" s="9" t="s">
        <v>1</v>
      </c>
      <c r="B48" s="155">
        <f>SUM(B46:B47)</f>
        <v>61628</v>
      </c>
      <c r="C48" s="165">
        <f>SUM(C46:C47)</f>
        <v>1</v>
      </c>
      <c r="D48" s="177">
        <f>B48/National!B50</f>
        <v>2.0725681341472315E-2</v>
      </c>
      <c r="E48" s="51"/>
      <c r="H48" s="87"/>
      <c r="I48" s="87"/>
      <c r="J48" s="1"/>
      <c r="K48" s="1"/>
    </row>
    <row r="49" spans="1:11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  <c r="J49" s="1"/>
      <c r="K49" s="1"/>
    </row>
    <row r="50" spans="1:11" ht="23.25">
      <c r="A50" s="5" t="s">
        <v>160</v>
      </c>
      <c r="B50" s="51"/>
      <c r="C50" s="89" t="s">
        <v>197</v>
      </c>
      <c r="D50" s="119" t="s">
        <v>198</v>
      </c>
      <c r="E50" s="51"/>
      <c r="F50" s="163" t="s">
        <v>96</v>
      </c>
      <c r="G50" s="193">
        <v>662118</v>
      </c>
      <c r="H50" s="189">
        <f>G50/G$52</f>
        <v>0.86199588086267542</v>
      </c>
      <c r="I50" s="113">
        <f>+G50/National!G52</f>
        <v>2.1125783149874885E-2</v>
      </c>
      <c r="J50" s="1"/>
      <c r="K50" s="1"/>
    </row>
    <row r="51" spans="1:11">
      <c r="A51" s="146" t="s">
        <v>5</v>
      </c>
      <c r="B51" s="149">
        <f>6966+5920</f>
        <v>12886</v>
      </c>
      <c r="C51" s="174">
        <f>B51/B$57</f>
        <v>0.20909326929317842</v>
      </c>
      <c r="D51" s="77">
        <f>B51/National!B53</f>
        <v>1.7912622101501151E-2</v>
      </c>
      <c r="E51" s="51"/>
      <c r="F51" s="163" t="s">
        <v>97</v>
      </c>
      <c r="G51" s="194">
        <v>106004</v>
      </c>
      <c r="H51" s="86">
        <f>G51/G$52</f>
        <v>0.13800411913732455</v>
      </c>
      <c r="I51" s="113">
        <f>+G51/National!G53</f>
        <v>2.1020732203795845E-2</v>
      </c>
      <c r="J51" s="1"/>
      <c r="K51" s="1"/>
    </row>
    <row r="52" spans="1:11">
      <c r="A52" s="146" t="s">
        <v>7</v>
      </c>
      <c r="B52" s="157">
        <f>2786+12568</f>
        <v>15354</v>
      </c>
      <c r="C52" s="175">
        <f t="shared" ref="C52:C56" si="6">B52/B$57</f>
        <v>0.24914000129811126</v>
      </c>
      <c r="D52" s="78">
        <f>B52/National!B54</f>
        <v>2.2418951416844437E-2</v>
      </c>
      <c r="E52" s="51"/>
      <c r="F52" s="60" t="s">
        <v>1</v>
      </c>
      <c r="G52" s="190">
        <f>SUM(G50:G51)</f>
        <v>768122</v>
      </c>
      <c r="H52" s="185">
        <f>SUM(H50:H51)</f>
        <v>1</v>
      </c>
      <c r="I52" s="192">
        <f>+G52/National!G54</f>
        <v>2.1111223277209577E-2</v>
      </c>
    </row>
    <row r="53" spans="1:11">
      <c r="A53" s="146" t="s">
        <v>6</v>
      </c>
      <c r="B53" s="157">
        <f>2323+8015</f>
        <v>10338</v>
      </c>
      <c r="C53" s="175">
        <f t="shared" si="6"/>
        <v>0.16774842604011164</v>
      </c>
      <c r="D53" s="78">
        <f>B53/National!B55</f>
        <v>1.9542237546502132E-2</v>
      </c>
      <c r="E53" s="51"/>
      <c r="F53" s="51"/>
      <c r="G53" s="51"/>
      <c r="H53" s="87"/>
      <c r="I53" s="87"/>
    </row>
    <row r="54" spans="1:11">
      <c r="A54" s="146" t="s">
        <v>30</v>
      </c>
      <c r="B54" s="157">
        <f>516+2737+3109</f>
        <v>6362</v>
      </c>
      <c r="C54" s="175">
        <f t="shared" si="6"/>
        <v>0.10323229700785358</v>
      </c>
      <c r="D54" s="78">
        <f>B54/National!B56</f>
        <v>1.5273186459151069E-2</v>
      </c>
      <c r="E54" s="51"/>
      <c r="F54" s="130" t="s">
        <v>202</v>
      </c>
      <c r="G54" s="51"/>
      <c r="H54" s="87"/>
      <c r="I54" s="87"/>
    </row>
    <row r="55" spans="1:11">
      <c r="A55" s="146" t="s">
        <v>8</v>
      </c>
      <c r="B55" s="157">
        <f>2913+6371</f>
        <v>9284</v>
      </c>
      <c r="C55" s="175">
        <f t="shared" si="6"/>
        <v>0.15064581034594665</v>
      </c>
      <c r="D55" s="78">
        <f>B55/National!B57</f>
        <v>2.3147386320004387E-2</v>
      </c>
      <c r="E55" s="51"/>
      <c r="F55" s="199" t="s">
        <v>203</v>
      </c>
      <c r="G55" s="51"/>
      <c r="H55" s="87"/>
      <c r="I55" s="87"/>
    </row>
    <row r="56" spans="1:11">
      <c r="A56" s="156" t="s">
        <v>29</v>
      </c>
      <c r="B56" s="181">
        <v>7404</v>
      </c>
      <c r="C56" s="175">
        <f t="shared" si="6"/>
        <v>0.12014019601479847</v>
      </c>
      <c r="D56" s="78">
        <f>B56/National!B58</f>
        <v>3.3257869771453209E-2</v>
      </c>
      <c r="E56" s="51"/>
      <c r="F56" s="51"/>
      <c r="G56" s="51"/>
      <c r="H56" s="87"/>
      <c r="I56" s="87"/>
    </row>
    <row r="57" spans="1:11">
      <c r="A57" s="9" t="s">
        <v>1</v>
      </c>
      <c r="B57" s="154">
        <f>SUM(B51:B56)</f>
        <v>61628</v>
      </c>
      <c r="C57" s="178">
        <f>SUM(C51:C56)</f>
        <v>1.0000000000000002</v>
      </c>
      <c r="D57" s="177">
        <f>B57/National!B59</f>
        <v>2.0725681341472315E-2</v>
      </c>
      <c r="E57" s="51"/>
      <c r="F57" s="51"/>
      <c r="G57" s="51"/>
      <c r="H57" s="87"/>
      <c r="I57" s="87"/>
    </row>
    <row r="59" spans="1:11">
      <c r="A59" s="130"/>
    </row>
    <row r="60" spans="1:11">
      <c r="A60" s="131"/>
    </row>
  </sheetData>
  <hyperlinks>
    <hyperlink ref="F2" r:id="rId1"/>
  </hyperlinks>
  <printOptions horizontalCentered="1" verticalCentered="1"/>
  <pageMargins left="0.7" right="0.7" top="1" bottom="0.75" header="0.3" footer="0.3"/>
  <pageSetup scale="77" orientation="portrait"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78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12448279</v>
      </c>
      <c r="C4" s="99"/>
      <c r="D4" s="77">
        <f>B4/National!B4</f>
        <v>4.0940243042514896E-2</v>
      </c>
      <c r="E4" s="1"/>
      <c r="F4" s="146" t="s">
        <v>10</v>
      </c>
      <c r="G4" s="195">
        <v>4300394</v>
      </c>
      <c r="H4" s="189">
        <f>G4/G$6</f>
        <v>0.49736967592857639</v>
      </c>
      <c r="I4" s="112">
        <f>+G4/National!G4</f>
        <v>4.150231886954335E-2</v>
      </c>
    </row>
    <row r="5" spans="1:9">
      <c r="A5" s="8" t="s">
        <v>167</v>
      </c>
      <c r="B5" s="50">
        <f>32215+12602</f>
        <v>44817</v>
      </c>
      <c r="C5" s="100"/>
      <c r="D5" s="79">
        <f>B5/National!B5</f>
        <v>1.2669327912465536E-2</v>
      </c>
      <c r="E5" s="1"/>
      <c r="F5" s="146" t="s">
        <v>11</v>
      </c>
      <c r="G5" s="196">
        <v>4345879</v>
      </c>
      <c r="H5" s="86">
        <f>G5/G$6</f>
        <v>0.50263032407142361</v>
      </c>
      <c r="I5" s="113">
        <f>+G5/National!G5</f>
        <v>4.1506950950779664E-2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8646273</v>
      </c>
      <c r="H6" s="182">
        <f>SUM(H4:H5)</f>
        <v>1</v>
      </c>
      <c r="I6" s="183">
        <f>+G6/National!G6</f>
        <v>4.1504646964800183E-2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5011416</v>
      </c>
      <c r="C8" s="174">
        <f>B8/B10</f>
        <v>0.77912558303248569</v>
      </c>
      <c r="D8" s="77">
        <f>B8/National!B8</f>
        <v>3.6685148097347055E-2</v>
      </c>
      <c r="E8" s="1"/>
      <c r="F8" s="146" t="s">
        <v>32</v>
      </c>
      <c r="G8" s="206">
        <f>30/100</f>
        <v>0.3</v>
      </c>
      <c r="H8" s="87"/>
      <c r="I8" s="87"/>
    </row>
    <row r="9" spans="1:9">
      <c r="A9" s="146" t="s">
        <v>169</v>
      </c>
      <c r="B9" s="150">
        <v>1420687</v>
      </c>
      <c r="C9" s="175">
        <f>B9/B10</f>
        <v>0.22087441696751436</v>
      </c>
      <c r="D9" s="78">
        <f>B9/National!B9</f>
        <v>3.6843144097741476E-2</v>
      </c>
      <c r="E9" s="1"/>
      <c r="F9" s="146" t="s">
        <v>31</v>
      </c>
      <c r="G9" s="207">
        <f>38.1/100</f>
        <v>0.38100000000000001</v>
      </c>
      <c r="H9" s="87"/>
      <c r="I9" s="87"/>
    </row>
    <row r="10" spans="1:9">
      <c r="A10" s="9" t="s">
        <v>9</v>
      </c>
      <c r="B10" s="152">
        <f>SUM(B8:B9)</f>
        <v>6432103</v>
      </c>
      <c r="C10" s="176">
        <f>SUM(C8:C9)</f>
        <v>1</v>
      </c>
      <c r="D10" s="165"/>
      <c r="E10" s="1"/>
      <c r="F10" s="146" t="s">
        <v>33</v>
      </c>
      <c r="G10" s="205">
        <f>31.2/100</f>
        <v>0.312</v>
      </c>
      <c r="H10" s="87"/>
      <c r="I10" s="87"/>
    </row>
    <row r="11" spans="1:9">
      <c r="A11" s="146" t="s">
        <v>170</v>
      </c>
      <c r="B11" s="149">
        <v>68645</v>
      </c>
      <c r="C11" s="93">
        <f>B11/(B12+B11)</f>
        <v>1.3781679090154205E-2</v>
      </c>
      <c r="D11" s="77">
        <f>B11/National!B11</f>
        <v>1.8201482952201253E-2</v>
      </c>
      <c r="E11" s="1"/>
      <c r="G11" s="49"/>
      <c r="H11" s="87"/>
      <c r="I11" s="86"/>
    </row>
    <row r="12" spans="1:9" ht="23.25">
      <c r="A12" s="146" t="s">
        <v>171</v>
      </c>
      <c r="B12" s="150">
        <v>4912243</v>
      </c>
      <c r="C12" s="95">
        <f>B12/(B11+B12)</f>
        <v>0.98621832090984585</v>
      </c>
      <c r="D12" s="79">
        <f>B12/National!B12</f>
        <v>3.7156289367399023E-2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6086264</v>
      </c>
      <c r="H13" s="189">
        <f>G13/G$18</f>
        <v>0.56543434083304955</v>
      </c>
      <c r="I13" s="92">
        <f>+G13/National!G13</f>
        <v>4.439940889048144E-2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4240216</v>
      </c>
      <c r="H14" s="86">
        <f>G14/G$18</f>
        <v>0.39393028941067126</v>
      </c>
      <c r="I14" s="106">
        <f>+G14/National!G14</f>
        <v>3.8462944115635778E-2</v>
      </c>
    </row>
    <row r="15" spans="1:9">
      <c r="A15" s="146" t="s">
        <v>3</v>
      </c>
      <c r="B15" s="149">
        <v>76484</v>
      </c>
      <c r="C15" s="174">
        <f>B15/B$17</f>
        <v>0.62809184377360971</v>
      </c>
      <c r="D15" s="77">
        <f>B15/National!B15</f>
        <v>2.5689668376086751E-2</v>
      </c>
      <c r="E15" s="3"/>
      <c r="F15" s="146" t="s">
        <v>13</v>
      </c>
      <c r="G15" s="150">
        <v>39928</v>
      </c>
      <c r="H15" s="86">
        <f>G15/G$18</f>
        <v>3.7094451310002328E-3</v>
      </c>
      <c r="I15" s="106">
        <f>+G15/National!G15</f>
        <v>4.73468768231773E-2</v>
      </c>
    </row>
    <row r="16" spans="1:9">
      <c r="A16" s="146" t="s">
        <v>2</v>
      </c>
      <c r="B16" s="150">
        <v>45288</v>
      </c>
      <c r="C16" s="175">
        <f>B16/B$17</f>
        <v>0.37190815622639029</v>
      </c>
      <c r="D16" s="78">
        <f>B16/National!B16</f>
        <v>4.250239315276761E-2</v>
      </c>
      <c r="E16" s="1"/>
      <c r="F16" s="9" t="s">
        <v>1</v>
      </c>
      <c r="G16" s="162">
        <v>10366408</v>
      </c>
      <c r="H16" s="105"/>
      <c r="I16" s="106"/>
    </row>
    <row r="17" spans="1:9">
      <c r="A17" s="9" t="s">
        <v>1</v>
      </c>
      <c r="B17" s="154">
        <f>SUM(B15:B16)</f>
        <v>121772</v>
      </c>
      <c r="C17" s="176">
        <f>SUM(C15:C16)</f>
        <v>1</v>
      </c>
      <c r="D17" s="177">
        <f>B17/National!B17</f>
        <v>3.0120946836424946E-2</v>
      </c>
      <c r="E17" s="1"/>
      <c r="F17" s="108" t="s">
        <v>35</v>
      </c>
      <c r="G17" s="117">
        <v>397466</v>
      </c>
      <c r="H17" s="105">
        <f>G17/G$18</f>
        <v>3.6925924625278966E-2</v>
      </c>
      <c r="I17" s="106">
        <f>+G17/National!G17</f>
        <v>5.1575664273524148E-2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10763874</v>
      </c>
      <c r="H18" s="185">
        <f>SUM(H13:H17)</f>
        <v>1</v>
      </c>
      <c r="I18" s="186">
        <f>+G18/National!G18</f>
        <v>4.2067547718793299E-2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1097+695</f>
        <v>1792</v>
      </c>
      <c r="C20" s="174">
        <f>B20/B$26</f>
        <v>1.4716147522809208E-2</v>
      </c>
      <c r="D20" s="77">
        <f>B20/National!B20</f>
        <v>3.8330730893456823E-2</v>
      </c>
      <c r="E20" s="51"/>
      <c r="F20" s="163" t="s">
        <v>3</v>
      </c>
      <c r="G20" s="108">
        <f>548+280</f>
        <v>828</v>
      </c>
      <c r="H20" s="189">
        <f>G20/G$23</f>
        <v>0.56403269754768393</v>
      </c>
      <c r="I20" s="92">
        <f>+G20/National!G20</f>
        <v>3.9794299995193926E-2</v>
      </c>
    </row>
    <row r="21" spans="1:9">
      <c r="A21" s="146" t="s">
        <v>7</v>
      </c>
      <c r="B21" s="157">
        <f>1932+2841</f>
        <v>4773</v>
      </c>
      <c r="C21" s="175">
        <f t="shared" ref="C21:C25" si="0">B21/B$26</f>
        <v>3.9196524624089478E-2</v>
      </c>
      <c r="D21" s="78">
        <f>B21/National!B21</f>
        <v>2.9923639236141587E-2</v>
      </c>
      <c r="E21" s="51"/>
      <c r="F21" s="163" t="s">
        <v>2</v>
      </c>
      <c r="G21" s="198">
        <f>551+89</f>
        <v>640</v>
      </c>
      <c r="H21" s="86">
        <f t="shared" ref="H21:H22" si="1">G21/G$23</f>
        <v>0.43596730245231607</v>
      </c>
      <c r="I21" s="106">
        <f>+G21/National!G21</f>
        <v>4.0110303334168963E-2</v>
      </c>
    </row>
    <row r="22" spans="1:9">
      <c r="A22" s="146" t="s">
        <v>6</v>
      </c>
      <c r="B22" s="157">
        <f>4546+3959</f>
        <v>8505</v>
      </c>
      <c r="C22" s="175">
        <f t="shared" si="0"/>
        <v>6.9844215782082761E-2</v>
      </c>
      <c r="D22" s="78">
        <f>B22/National!B22</f>
        <v>3.5261924998445243E-2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7235+7256+5333</f>
        <v>19824</v>
      </c>
      <c r="C23" s="175">
        <f t="shared" si="0"/>
        <v>0.16279738197107685</v>
      </c>
      <c r="D23" s="78">
        <f>B23/National!B23</f>
        <v>2.4945670433768264E-2</v>
      </c>
      <c r="E23" s="51"/>
      <c r="F23" s="9" t="s">
        <v>1</v>
      </c>
      <c r="G23" s="197">
        <f>SUM(G20:G22)</f>
        <v>1468</v>
      </c>
      <c r="H23" s="132">
        <f>SUM(H20:H22)</f>
        <v>1</v>
      </c>
      <c r="I23" s="133">
        <f>+G23/National!G23</f>
        <v>3.9397761734789725E-2</v>
      </c>
    </row>
    <row r="24" spans="1:9">
      <c r="A24" s="146" t="s">
        <v>8</v>
      </c>
      <c r="B24" s="157">
        <f>54418+31917</f>
        <v>86335</v>
      </c>
      <c r="C24" s="175">
        <f t="shared" si="0"/>
        <v>0.70899475244516341</v>
      </c>
      <c r="D24" s="78">
        <f>B24/National!B24</f>
        <v>3.0952165844956303E-2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542</v>
      </c>
      <c r="C25" s="175">
        <f t="shared" si="0"/>
        <v>4.4509776547782317E-3</v>
      </c>
      <c r="D25" s="78">
        <f>B25/National!B25</f>
        <v>4.7816497573886195E-2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121771</v>
      </c>
      <c r="C26" s="176">
        <f>SUM(C20:C25)</f>
        <v>0.99999999999999989</v>
      </c>
      <c r="D26" s="177">
        <f>B26/National!B26</f>
        <v>3.0120624976192112E-2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6166750</v>
      </c>
      <c r="H27" s="87"/>
      <c r="I27" s="113">
        <f>+G27/National!G27</f>
        <v>4.4660965281430674E-2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5934648</v>
      </c>
      <c r="H28" s="87"/>
      <c r="I28" s="114">
        <f>+G28/National!G28</f>
        <v>4.4627902363728648E-2</v>
      </c>
    </row>
    <row r="29" spans="1:9">
      <c r="A29" s="146" t="s">
        <v>91</v>
      </c>
      <c r="B29" s="149">
        <f>28848+11014</f>
        <v>39862</v>
      </c>
      <c r="C29" s="174">
        <f>B29/B$34</f>
        <v>0.32735216102356063</v>
      </c>
      <c r="D29" s="77">
        <f>B29/National!B29</f>
        <v>5.1122627873900428E-2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20+270</f>
        <v>290</v>
      </c>
      <c r="C30" s="175">
        <f t="shared" ref="C30:C33" si="2">B30/B$34</f>
        <v>2.3815194093831865E-3</v>
      </c>
      <c r="D30" s="78">
        <f>B30/National!B30</f>
        <v>1.621882211084055E-4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43451+33563</f>
        <v>77014</v>
      </c>
      <c r="C31" s="175">
        <f t="shared" si="2"/>
        <v>0.63244943377323004</v>
      </c>
      <c r="D31" s="78">
        <f>B31/National!B31</f>
        <v>5.9865986754143216E-2</v>
      </c>
      <c r="E31" s="51"/>
      <c r="F31" s="163" t="s">
        <v>16</v>
      </c>
      <c r="G31" s="168">
        <v>2150825</v>
      </c>
      <c r="H31" s="92">
        <f>G31/G$38</f>
        <v>0.23996676563637312</v>
      </c>
      <c r="I31" s="112">
        <f>+G31/National!G31</f>
        <v>5.0916951364744507E-2</v>
      </c>
    </row>
    <row r="32" spans="1:9">
      <c r="A32" s="146" t="s">
        <v>94</v>
      </c>
      <c r="B32" s="157">
        <f>3398+352</f>
        <v>3750</v>
      </c>
      <c r="C32" s="175">
        <f t="shared" si="2"/>
        <v>3.0795509604092927E-2</v>
      </c>
      <c r="D32" s="78">
        <f>B32/National!B32</f>
        <v>6.5769858112492766E-2</v>
      </c>
      <c r="E32" s="51"/>
      <c r="F32" s="163" t="s">
        <v>17</v>
      </c>
      <c r="G32" s="169">
        <v>3749663</v>
      </c>
      <c r="H32" s="106">
        <f t="shared" ref="H32:H37" si="3">G32/G$38</f>
        <v>0.41834854176252356</v>
      </c>
      <c r="I32" s="113">
        <f>+G32/National!G32</f>
        <v>6.0272119159333795E-2</v>
      </c>
    </row>
    <row r="33" spans="1:9">
      <c r="A33" s="146" t="s">
        <v>95</v>
      </c>
      <c r="B33" s="150">
        <f>767+88</f>
        <v>855</v>
      </c>
      <c r="C33" s="175">
        <f t="shared" si="2"/>
        <v>7.0213761897331877E-3</v>
      </c>
      <c r="D33" s="78">
        <f>B33/National!B33</f>
        <v>6.500319313931211E-3</v>
      </c>
      <c r="E33" s="51"/>
      <c r="F33" s="163" t="s">
        <v>18</v>
      </c>
      <c r="G33" s="169">
        <v>1345785</v>
      </c>
      <c r="H33" s="106">
        <f t="shared" si="3"/>
        <v>0.15014874464075245</v>
      </c>
      <c r="I33" s="113">
        <f>+G33/National!G33</f>
        <v>4.2363809835180656E-2</v>
      </c>
    </row>
    <row r="34" spans="1:9">
      <c r="A34" s="9" t="s">
        <v>1</v>
      </c>
      <c r="B34" s="154">
        <f>SUM(B29:B33)</f>
        <v>121771</v>
      </c>
      <c r="C34" s="176">
        <f>SUM(C29:C33)</f>
        <v>1</v>
      </c>
      <c r="D34" s="180">
        <f>B34/National!B34</f>
        <v>3.012069948114757E-2</v>
      </c>
      <c r="E34" s="51"/>
      <c r="F34" s="163" t="s">
        <v>19</v>
      </c>
      <c r="G34" s="169">
        <v>392032</v>
      </c>
      <c r="H34" s="106">
        <f t="shared" si="3"/>
        <v>4.3738868139415632E-2</v>
      </c>
      <c r="I34" s="113">
        <f>+G34/National!G34</f>
        <v>4.5649046175830432E-2</v>
      </c>
    </row>
    <row r="35" spans="1:9">
      <c r="B35" s="49"/>
      <c r="C35" s="96"/>
      <c r="D35" s="96"/>
      <c r="E35" s="51"/>
      <c r="F35" s="163" t="s">
        <v>20</v>
      </c>
      <c r="G35" s="169">
        <v>8931</v>
      </c>
      <c r="H35" s="106">
        <f t="shared" si="3"/>
        <v>9.9642843276345045E-4</v>
      </c>
      <c r="I35" s="113">
        <f>+G35/National!G35</f>
        <v>6.6988912513650371E-4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691160</v>
      </c>
      <c r="H36" s="106">
        <f t="shared" si="3"/>
        <v>7.7112470673920769E-2</v>
      </c>
      <c r="I36" s="113">
        <f>+G36/National!G36</f>
        <v>4.3687424429876776E-2</v>
      </c>
    </row>
    <row r="37" spans="1:9">
      <c r="A37" s="146" t="s">
        <v>5</v>
      </c>
      <c r="B37" s="149">
        <f>4450+3103</f>
        <v>7553</v>
      </c>
      <c r="C37" s="174">
        <f>B37/B$43</f>
        <v>2.9755198197275429E-2</v>
      </c>
      <c r="D37" s="77">
        <f>B37/National!B37</f>
        <v>3.5362473547203024E-2</v>
      </c>
      <c r="E37" s="51"/>
      <c r="F37" s="163" t="s">
        <v>22</v>
      </c>
      <c r="G37" s="170">
        <v>624616</v>
      </c>
      <c r="H37" s="106">
        <f t="shared" si="3"/>
        <v>6.9688180714250966E-2</v>
      </c>
      <c r="I37" s="114">
        <f>+G37/National!G37</f>
        <v>2.434564757861141E-2</v>
      </c>
    </row>
    <row r="38" spans="1:9">
      <c r="A38" s="146" t="s">
        <v>7</v>
      </c>
      <c r="B38" s="157">
        <f>5117+8362</f>
        <v>13479</v>
      </c>
      <c r="C38" s="175">
        <f t="shared" ref="C38:C42" si="4">B38/B$43</f>
        <v>5.3100796571041373E-2</v>
      </c>
      <c r="D38" s="78">
        <f>B38/National!B38</f>
        <v>2.8227208189010675E-2</v>
      </c>
      <c r="E38" s="51"/>
      <c r="F38" s="47" t="s">
        <v>1</v>
      </c>
      <c r="G38" s="187">
        <f>SUM(G31:G37)</f>
        <v>8963012</v>
      </c>
      <c r="H38" s="188">
        <f>SUM(H31:H37)</f>
        <v>1</v>
      </c>
      <c r="I38" s="188">
        <f>+G38/National!G39</f>
        <v>4.4530108053506427E-2</v>
      </c>
    </row>
    <row r="39" spans="1:9">
      <c r="A39" s="146" t="s">
        <v>6</v>
      </c>
      <c r="B39" s="157">
        <f>9366+8709</f>
        <v>18075</v>
      </c>
      <c r="C39" s="175">
        <f t="shared" si="4"/>
        <v>7.1206832704323236E-2</v>
      </c>
      <c r="D39" s="78">
        <f>B39/National!B39</f>
        <v>3.2703981472267205E-2</v>
      </c>
      <c r="E39" s="51"/>
      <c r="H39" s="87"/>
      <c r="I39" s="87"/>
    </row>
    <row r="40" spans="1:9" ht="23.25">
      <c r="A40" s="146" t="s">
        <v>30</v>
      </c>
      <c r="B40" s="157">
        <f>14544+14512+10783</f>
        <v>39839</v>
      </c>
      <c r="C40" s="175">
        <f t="shared" si="4"/>
        <v>0.15694655646514707</v>
      </c>
      <c r="D40" s="78">
        <f>B40/National!B40</f>
        <v>2.4763269877933407E-2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108837+63834</f>
        <v>172671</v>
      </c>
      <c r="C41" s="175">
        <f t="shared" si="4"/>
        <v>0.68024094107265265</v>
      </c>
      <c r="D41" s="78">
        <f>B41/National!B41</f>
        <v>3.0952367294756897E-2</v>
      </c>
      <c r="E41" s="51"/>
      <c r="F41" s="163" t="s">
        <v>38</v>
      </c>
      <c r="G41" s="168">
        <v>2715134</v>
      </c>
      <c r="H41" s="189">
        <f>G41/G$47</f>
        <v>0.35595481707644022</v>
      </c>
      <c r="I41" s="113">
        <f>+G41/National!G42</f>
        <v>2.9939311434673484E-2</v>
      </c>
    </row>
    <row r="42" spans="1:9">
      <c r="A42" s="156" t="s">
        <v>29</v>
      </c>
      <c r="B42" s="150">
        <v>2221</v>
      </c>
      <c r="C42" s="175">
        <f t="shared" si="4"/>
        <v>8.7496749895602712E-3</v>
      </c>
      <c r="D42" s="78">
        <f>B42/National!B42</f>
        <v>4.2080333459643807E-2</v>
      </c>
      <c r="E42" s="51"/>
      <c r="F42" s="163" t="s">
        <v>39</v>
      </c>
      <c r="G42" s="169">
        <v>3004202</v>
      </c>
      <c r="H42" s="86">
        <f t="shared" ref="H42:H46" si="5">G42/G$47</f>
        <v>0.39385171169109001</v>
      </c>
      <c r="I42" s="113">
        <f>+G42/National!G43</f>
        <v>6.7456106014109105E-2</v>
      </c>
    </row>
    <row r="43" spans="1:9">
      <c r="A43" s="9" t="s">
        <v>1</v>
      </c>
      <c r="B43" s="154">
        <f>SUM(B37:B42)</f>
        <v>253838</v>
      </c>
      <c r="C43" s="178">
        <f>SUM(C37:C42)</f>
        <v>1</v>
      </c>
      <c r="D43" s="179">
        <f>B43/National!B43</f>
        <v>2.9919722714686958E-2</v>
      </c>
      <c r="E43" s="51"/>
      <c r="F43" s="163" t="s">
        <v>40</v>
      </c>
      <c r="G43" s="169">
        <v>557422</v>
      </c>
      <c r="H43" s="86">
        <f t="shared" si="5"/>
        <v>7.3078178109950917E-2</v>
      </c>
      <c r="I43" s="113">
        <f>+G43/National!G44</f>
        <v>4.2548130959718648E-2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784352</v>
      </c>
      <c r="H44" s="86">
        <f t="shared" si="5"/>
        <v>0.10282876376765937</v>
      </c>
      <c r="I44" s="113">
        <f>+G44/National!G45</f>
        <v>5.3275698233521324E-2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197185</v>
      </c>
      <c r="H45" s="86">
        <f t="shared" si="5"/>
        <v>2.5851007944807831E-2</v>
      </c>
      <c r="I45" s="113">
        <f>+G45/National!G46</f>
        <v>2.3703382256332152E-2</v>
      </c>
    </row>
    <row r="46" spans="1:9">
      <c r="A46" s="8" t="s">
        <v>3</v>
      </c>
      <c r="B46" s="52">
        <v>38742</v>
      </c>
      <c r="C46" s="93">
        <f>B46/B$48</f>
        <v>0.35922780209183297</v>
      </c>
      <c r="D46" s="77">
        <f>B46/National!B48</f>
        <v>3.9116817343788177E-2</v>
      </c>
      <c r="E46" s="51"/>
      <c r="F46" s="163" t="s">
        <v>43</v>
      </c>
      <c r="G46" s="170">
        <v>369454</v>
      </c>
      <c r="H46" s="86">
        <f t="shared" si="5"/>
        <v>4.8435521410051641E-2</v>
      </c>
      <c r="I46" s="113">
        <f>+G46/National!G47</f>
        <v>4.6378726247714823E-2</v>
      </c>
    </row>
    <row r="47" spans="1:9">
      <c r="A47" s="8" t="s">
        <v>2</v>
      </c>
      <c r="B47" s="52">
        <v>69106</v>
      </c>
      <c r="C47" s="97">
        <f>B47/B$48</f>
        <v>0.64077219790816708</v>
      </c>
      <c r="D47" s="78">
        <f>B47/National!B49</f>
        <v>3.484761919649678E-2</v>
      </c>
      <c r="E47" s="51"/>
      <c r="F47" s="9" t="s">
        <v>1</v>
      </c>
      <c r="G47" s="191">
        <f>SUM(G41:G46)</f>
        <v>7627749</v>
      </c>
      <c r="H47" s="182">
        <f>SUM(H41:H46)</f>
        <v>1</v>
      </c>
      <c r="I47" s="188">
        <f>+G47/National!G49</f>
        <v>4.2044838293802685E-2</v>
      </c>
    </row>
    <row r="48" spans="1:9">
      <c r="A48" s="9" t="s">
        <v>1</v>
      </c>
      <c r="B48" s="155">
        <f>SUM(B46:B47)</f>
        <v>107848</v>
      </c>
      <c r="C48" s="165">
        <f>SUM(C46:C47)</f>
        <v>1</v>
      </c>
      <c r="D48" s="177">
        <f>B48/National!B50</f>
        <v>3.6269606044575617E-2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1174199</v>
      </c>
      <c r="H50" s="189">
        <f>G50/G$52</f>
        <v>0.86193027916229292</v>
      </c>
      <c r="I50" s="113">
        <f>+G50/National!G52</f>
        <v>3.7464429978946265E-2</v>
      </c>
    </row>
    <row r="51" spans="1:9">
      <c r="A51" s="146" t="s">
        <v>5</v>
      </c>
      <c r="B51" s="149">
        <f>10864+14803</f>
        <v>25667</v>
      </c>
      <c r="C51" s="174">
        <f>B51/B$57</f>
        <v>0.23799235961723908</v>
      </c>
      <c r="D51" s="77">
        <f>B51/National!B53</f>
        <v>3.5679285385630144E-2</v>
      </c>
      <c r="E51" s="51"/>
      <c r="F51" s="163" t="s">
        <v>97</v>
      </c>
      <c r="G51" s="194">
        <v>188091</v>
      </c>
      <c r="H51" s="86">
        <f>G51/G$52</f>
        <v>0.13806972083770711</v>
      </c>
      <c r="I51" s="113">
        <f>+G51/National!G53</f>
        <v>3.7298691945060226E-2</v>
      </c>
    </row>
    <row r="52" spans="1:9">
      <c r="A52" s="146" t="s">
        <v>7</v>
      </c>
      <c r="B52" s="157">
        <f>6515+17550</f>
        <v>24065</v>
      </c>
      <c r="C52" s="175">
        <f t="shared" ref="C52:C56" si="6">B52/B$57</f>
        <v>0.22313812031748387</v>
      </c>
      <c r="D52" s="78">
        <f>B52/National!B54</f>
        <v>3.5138209316553433E-2</v>
      </c>
      <c r="E52" s="51"/>
      <c r="F52" s="60" t="s">
        <v>1</v>
      </c>
      <c r="G52" s="190">
        <f>SUM(G50:G51)</f>
        <v>1362290</v>
      </c>
      <c r="H52" s="185">
        <f>SUM(H50:H51)</f>
        <v>1</v>
      </c>
      <c r="I52" s="192">
        <f>+G52/National!G54</f>
        <v>3.7441458984783453E-2</v>
      </c>
    </row>
    <row r="53" spans="1:9">
      <c r="A53" s="146" t="s">
        <v>6</v>
      </c>
      <c r="B53" s="157">
        <f>7012+13486</f>
        <v>20498</v>
      </c>
      <c r="C53" s="175">
        <f t="shared" si="6"/>
        <v>0.19006379348713004</v>
      </c>
      <c r="D53" s="78">
        <f>B53/National!B55</f>
        <v>3.8747996249584124E-2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4843+2166+8610</f>
        <v>15619</v>
      </c>
      <c r="C54" s="175">
        <f t="shared" si="6"/>
        <v>0.14482419701802537</v>
      </c>
      <c r="D54" s="78">
        <f>B54/National!B56</f>
        <v>3.7496368957164496E-2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7342+7704</f>
        <v>15046</v>
      </c>
      <c r="C55" s="175">
        <f t="shared" si="6"/>
        <v>0.13951116386024776</v>
      </c>
      <c r="D55" s="78">
        <f>B55/National!B57</f>
        <v>3.7513525912406941E-2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f>6953</f>
        <v>6953</v>
      </c>
      <c r="C56" s="175">
        <f t="shared" si="6"/>
        <v>6.4470365699873897E-2</v>
      </c>
      <c r="D56" s="78">
        <f>B56/National!B58</f>
        <v>3.1232032485266639E-2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107848</v>
      </c>
      <c r="C57" s="178">
        <f>SUM(C51:C56)</f>
        <v>1</v>
      </c>
      <c r="D57" s="177">
        <f>B57/National!B59</f>
        <v>3.6269606044575617E-2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79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1050788</v>
      </c>
      <c r="C4" s="99"/>
      <c r="D4" s="77">
        <f>B4/National!B4</f>
        <v>3.4558605335049241E-3</v>
      </c>
      <c r="E4" s="1"/>
      <c r="F4" s="146" t="s">
        <v>10</v>
      </c>
      <c r="G4" s="195">
        <v>369437</v>
      </c>
      <c r="H4" s="189">
        <f>G4/G$6</f>
        <v>0.4936680782146346</v>
      </c>
      <c r="I4" s="112">
        <f>+G4/National!G4</f>
        <v>3.5653691676175458E-3</v>
      </c>
    </row>
    <row r="5" spans="1:9">
      <c r="A5" s="8" t="s">
        <v>167</v>
      </c>
      <c r="B5" s="50">
        <f>438+607</f>
        <v>1045</v>
      </c>
      <c r="C5" s="100"/>
      <c r="D5" s="79">
        <f>B5/National!B5</f>
        <v>2.9541128742500581E-4</v>
      </c>
      <c r="E5" s="1"/>
      <c r="F5" s="146" t="s">
        <v>11</v>
      </c>
      <c r="G5" s="196">
        <v>378914</v>
      </c>
      <c r="H5" s="86">
        <f>G5/G$6</f>
        <v>0.50633192178536546</v>
      </c>
      <c r="I5" s="113">
        <f>+G5/National!G5</f>
        <v>3.6189605860088895E-3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748351</v>
      </c>
      <c r="H6" s="182">
        <f>SUM(H4:H5)</f>
        <v>1</v>
      </c>
      <c r="I6" s="183">
        <f>+G6/National!G6</f>
        <v>3.5923043443984687E-3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406632</v>
      </c>
      <c r="C8" s="174">
        <f>B8/B10</f>
        <v>0.86660898252852592</v>
      </c>
      <c r="D8" s="77">
        <f>B8/National!B8</f>
        <v>2.9766746845842425E-3</v>
      </c>
      <c r="E8" s="1"/>
      <c r="F8" s="146" t="s">
        <v>32</v>
      </c>
      <c r="G8" s="206">
        <f>30/100</f>
        <v>0.3</v>
      </c>
      <c r="H8" s="87"/>
      <c r="I8" s="87"/>
    </row>
    <row r="9" spans="1:9">
      <c r="A9" s="146" t="s">
        <v>169</v>
      </c>
      <c r="B9" s="150">
        <v>62590</v>
      </c>
      <c r="C9" s="175">
        <f>B9/B10</f>
        <v>0.13339101747147405</v>
      </c>
      <c r="D9" s="78">
        <f>B9/National!B9</f>
        <v>1.6231670938620813E-3</v>
      </c>
      <c r="E9" s="1"/>
      <c r="F9" s="146" t="s">
        <v>31</v>
      </c>
      <c r="G9" s="207">
        <f>30/100</f>
        <v>0.3</v>
      </c>
      <c r="H9" s="87"/>
      <c r="I9" s="87"/>
    </row>
    <row r="10" spans="1:9">
      <c r="A10" s="9" t="s">
        <v>9</v>
      </c>
      <c r="B10" s="152">
        <f>SUM(B8:B9)</f>
        <v>469222</v>
      </c>
      <c r="C10" s="176">
        <f>SUM(C8:C9)</f>
        <v>1</v>
      </c>
      <c r="D10" s="165"/>
      <c r="E10" s="1"/>
      <c r="F10" s="146" t="s">
        <v>33</v>
      </c>
      <c r="G10" s="205">
        <f>30/100</f>
        <v>0.3</v>
      </c>
      <c r="H10" s="87"/>
      <c r="I10" s="87"/>
    </row>
    <row r="11" spans="1:9">
      <c r="A11" s="146" t="s">
        <v>170</v>
      </c>
      <c r="B11" s="149">
        <v>11565</v>
      </c>
      <c r="C11" s="93">
        <f>B11/(B12+B11)</f>
        <v>2.8788565226699061E-2</v>
      </c>
      <c r="D11" s="77">
        <f>B11/National!B11</f>
        <v>3.0665037561688033E-3</v>
      </c>
      <c r="E11" s="1"/>
      <c r="G11" s="49"/>
      <c r="H11" s="87"/>
      <c r="I11" s="86"/>
    </row>
    <row r="12" spans="1:9" ht="23.25">
      <c r="A12" s="146" t="s">
        <v>171</v>
      </c>
      <c r="B12" s="150">
        <v>390157</v>
      </c>
      <c r="C12" s="95">
        <f>B12/(B11+B12)</f>
        <v>0.97121143477330096</v>
      </c>
      <c r="D12" s="79">
        <f>B12/National!B12</f>
        <v>2.9511541653611806E-3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490628</v>
      </c>
      <c r="H13" s="189">
        <f>G13/G$18</f>
        <v>0.59369240840705662</v>
      </c>
      <c r="I13" s="92">
        <f>+G13/National!G13</f>
        <v>3.579140370039671E-3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302032</v>
      </c>
      <c r="H14" s="86">
        <f>G14/G$18</f>
        <v>0.36547874458041557</v>
      </c>
      <c r="I14" s="106">
        <f>+G14/National!G14</f>
        <v>2.7397283386350378E-3</v>
      </c>
    </row>
    <row r="15" spans="1:9">
      <c r="A15" s="146" t="s">
        <v>3</v>
      </c>
      <c r="B15" s="149">
        <v>1214</v>
      </c>
      <c r="C15" s="174">
        <f>B15/B$17</f>
        <v>0.18956901936289819</v>
      </c>
      <c r="D15" s="77">
        <f>B15/National!B15</f>
        <v>4.0776185095666172E-4</v>
      </c>
      <c r="E15" s="3"/>
      <c r="F15" s="146" t="s">
        <v>13</v>
      </c>
      <c r="G15" s="150">
        <v>1720</v>
      </c>
      <c r="H15" s="86">
        <f>G15/G$18</f>
        <v>2.0813140351959884E-3</v>
      </c>
      <c r="I15" s="106">
        <f>+G15/National!G15</f>
        <v>2.0395869599244879E-3</v>
      </c>
    </row>
    <row r="16" spans="1:9">
      <c r="A16" s="146" t="s">
        <v>2</v>
      </c>
      <c r="B16" s="150">
        <v>5190</v>
      </c>
      <c r="C16" s="175">
        <f>B16/B$17</f>
        <v>0.81043098063710184</v>
      </c>
      <c r="D16" s="78">
        <f>B16/National!B16</f>
        <v>4.8707697505490175E-3</v>
      </c>
      <c r="E16" s="1"/>
      <c r="F16" s="9" t="s">
        <v>1</v>
      </c>
      <c r="G16" s="162">
        <v>794380</v>
      </c>
      <c r="H16" s="105"/>
      <c r="I16" s="106"/>
    </row>
    <row r="17" spans="1:9">
      <c r="A17" s="9" t="s">
        <v>1</v>
      </c>
      <c r="B17" s="154">
        <f>SUM(B15:B16)</f>
        <v>6404</v>
      </c>
      <c r="C17" s="176">
        <f>SUM(C15:C16)</f>
        <v>1</v>
      </c>
      <c r="D17" s="177">
        <f>B17/National!B17</f>
        <v>1.5840631963051058E-3</v>
      </c>
      <c r="E17" s="1"/>
      <c r="F17" s="108" t="s">
        <v>35</v>
      </c>
      <c r="G17" s="117">
        <v>32021</v>
      </c>
      <c r="H17" s="105">
        <f>G17/G$18</f>
        <v>3.8747532977331828E-2</v>
      </c>
      <c r="I17" s="106">
        <f>+G17/National!G17</f>
        <v>4.1550833170699297E-3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826401</v>
      </c>
      <c r="H18" s="185">
        <f>SUM(H13:H17)</f>
        <v>1</v>
      </c>
      <c r="I18" s="186">
        <f>+G18/National!G18</f>
        <v>3.2297538509237942E-3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21+51</f>
        <v>72</v>
      </c>
      <c r="C20" s="174">
        <f>B20/B$26</f>
        <v>1.1244729033265656E-2</v>
      </c>
      <c r="D20" s="77">
        <f>B20/National!B20</f>
        <v>1.5400740091121045E-3</v>
      </c>
      <c r="E20" s="51"/>
      <c r="F20" s="163" t="s">
        <v>3</v>
      </c>
      <c r="G20" s="108">
        <f>11+2</f>
        <v>13</v>
      </c>
      <c r="H20" s="189">
        <f>G20/G$23</f>
        <v>0.2</v>
      </c>
      <c r="I20" s="92">
        <f>+G20/National!G20</f>
        <v>6.2478973422405921E-4</v>
      </c>
    </row>
    <row r="21" spans="1:9">
      <c r="A21" s="146" t="s">
        <v>7</v>
      </c>
      <c r="B21" s="157">
        <f>48+362</f>
        <v>410</v>
      </c>
      <c r="C21" s="175">
        <f t="shared" ref="C21:C25" si="0">B21/B$26</f>
        <v>6.4032484772762771E-2</v>
      </c>
      <c r="D21" s="78">
        <f>B21/National!B21</f>
        <v>2.5704362218349152E-3</v>
      </c>
      <c r="E21" s="51"/>
      <c r="F21" s="163" t="s">
        <v>2</v>
      </c>
      <c r="G21" s="198">
        <f>24+21</f>
        <v>45</v>
      </c>
      <c r="H21" s="86">
        <f t="shared" ref="H21:H22" si="1">G21/G$23</f>
        <v>0.69230769230769229</v>
      </c>
      <c r="I21" s="106">
        <f>+G21/National!G21</f>
        <v>2.8202557031837554E-3</v>
      </c>
    </row>
    <row r="22" spans="1:9">
      <c r="A22" s="146" t="s">
        <v>6</v>
      </c>
      <c r="B22" s="157">
        <f>65+359</f>
        <v>424</v>
      </c>
      <c r="C22" s="175">
        <f t="shared" si="0"/>
        <v>6.6218959862564417E-2</v>
      </c>
      <c r="D22" s="78">
        <f>B22/National!B22</f>
        <v>1.7579137212628787E-3</v>
      </c>
      <c r="E22" s="51"/>
      <c r="F22" s="163" t="s">
        <v>28</v>
      </c>
      <c r="G22" s="181">
        <v>7</v>
      </c>
      <c r="H22" s="86">
        <f t="shared" si="1"/>
        <v>0.1076923076923077</v>
      </c>
      <c r="I22" s="106">
        <f>+G22/National!G22</f>
        <v>1.4056224899598393E-2</v>
      </c>
    </row>
    <row r="23" spans="1:9">
      <c r="A23" s="146" t="s">
        <v>30</v>
      </c>
      <c r="B23" s="157">
        <f>145+124+613</f>
        <v>882</v>
      </c>
      <c r="C23" s="175">
        <f t="shared" si="0"/>
        <v>0.13774793065750429</v>
      </c>
      <c r="D23" s="78">
        <f>B23/National!B23</f>
        <v>1.109870930315961E-3</v>
      </c>
      <c r="E23" s="51"/>
      <c r="F23" s="9" t="s">
        <v>1</v>
      </c>
      <c r="G23" s="197">
        <f>SUM(G20:G22)</f>
        <v>65</v>
      </c>
      <c r="H23" s="132">
        <f>SUM(H20:H22)</f>
        <v>1</v>
      </c>
      <c r="I23" s="133">
        <f>+G23/National!G23</f>
        <v>1.7444513029709347E-3</v>
      </c>
    </row>
    <row r="24" spans="1:9">
      <c r="A24" s="146" t="s">
        <v>8</v>
      </c>
      <c r="B24" s="157">
        <f>809+3716</f>
        <v>4525</v>
      </c>
      <c r="C24" s="175">
        <f t="shared" si="0"/>
        <v>0.70669998438232073</v>
      </c>
      <c r="D24" s="78">
        <f>B24/National!B24</f>
        <v>1.6222684942193465E-3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90</v>
      </c>
      <c r="C25" s="175">
        <f t="shared" si="0"/>
        <v>1.405591129158207E-2</v>
      </c>
      <c r="D25" s="78">
        <f>B25/National!B25</f>
        <v>7.9400088222320239E-3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6403</v>
      </c>
      <c r="C26" s="176">
        <f>SUM(C20:C25)</f>
        <v>1</v>
      </c>
      <c r="D26" s="177">
        <f>B26/National!B26</f>
        <v>1.5838119233853552E-3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439757</v>
      </c>
      <c r="H27" s="87"/>
      <c r="I27" s="113">
        <f>+G27/National!G27</f>
        <v>3.1848173039714773E-3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418659</v>
      </c>
      <c r="H28" s="87"/>
      <c r="I28" s="114">
        <f>+G28/National!G28</f>
        <v>3.1482697837675075E-3</v>
      </c>
    </row>
    <row r="29" spans="1:9">
      <c r="A29" s="146" t="s">
        <v>91</v>
      </c>
      <c r="B29" s="149">
        <f>316+792</f>
        <v>1108</v>
      </c>
      <c r="C29" s="174">
        <f>B29/B$34</f>
        <v>0.17304388567858817</v>
      </c>
      <c r="D29" s="77">
        <f>B29/National!B29</f>
        <v>1.420999239483259E-3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0+0</f>
        <v>0</v>
      </c>
      <c r="C30" s="175">
        <f t="shared" ref="C30:C33" si="2">B30/B$34</f>
        <v>0</v>
      </c>
      <c r="D30" s="78">
        <f>B30/National!B30</f>
        <v>0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871+4365</f>
        <v>5236</v>
      </c>
      <c r="C31" s="175">
        <f t="shared" si="2"/>
        <v>0.81774168358581911</v>
      </c>
      <c r="D31" s="78">
        <f>B31/National!B31</f>
        <v>4.0701470725412765E-3</v>
      </c>
      <c r="E31" s="51"/>
      <c r="F31" s="163" t="s">
        <v>16</v>
      </c>
      <c r="G31" s="168">
        <v>295703</v>
      </c>
      <c r="H31" s="92">
        <f>G31/G$38</f>
        <v>0.46630995972460082</v>
      </c>
      <c r="I31" s="112">
        <f>+G31/National!G31</f>
        <v>7.0002418929522598E-3</v>
      </c>
    </row>
    <row r="32" spans="1:9">
      <c r="A32" s="146" t="s">
        <v>94</v>
      </c>
      <c r="B32" s="157">
        <v>3</v>
      </c>
      <c r="C32" s="175">
        <f t="shared" si="2"/>
        <v>4.6853037638606906E-4</v>
      </c>
      <c r="D32" s="78">
        <f>B32/National!B32</f>
        <v>5.2615886489994215E-5</v>
      </c>
      <c r="E32" s="51"/>
      <c r="F32" s="163" t="s">
        <v>17</v>
      </c>
      <c r="G32" s="169">
        <v>102327</v>
      </c>
      <c r="H32" s="106">
        <f t="shared" ref="H32:H37" si="3">G32/G$38</f>
        <v>0.16136494810245153</v>
      </c>
      <c r="I32" s="113">
        <f>+G32/National!G32</f>
        <v>1.644805183083693E-3</v>
      </c>
    </row>
    <row r="33" spans="1:9">
      <c r="A33" s="146" t="s">
        <v>95</v>
      </c>
      <c r="B33" s="150">
        <f>27+29</f>
        <v>56</v>
      </c>
      <c r="C33" s="175">
        <f t="shared" si="2"/>
        <v>8.7459003592066219E-3</v>
      </c>
      <c r="D33" s="78">
        <f>B33/National!B33</f>
        <v>4.2575190828087459E-4</v>
      </c>
      <c r="E33" s="51"/>
      <c r="F33" s="163" t="s">
        <v>18</v>
      </c>
      <c r="G33" s="169">
        <v>101085</v>
      </c>
      <c r="H33" s="106">
        <f t="shared" si="3"/>
        <v>0.15940637152399967</v>
      </c>
      <c r="I33" s="113">
        <f>+G33/National!G33</f>
        <v>3.1820429839753278E-3</v>
      </c>
    </row>
    <row r="34" spans="1:9">
      <c r="A34" s="9" t="s">
        <v>1</v>
      </c>
      <c r="B34" s="154">
        <f>SUM(B29:B33)</f>
        <v>6403</v>
      </c>
      <c r="C34" s="176">
        <f>SUM(C29:C33)</f>
        <v>1</v>
      </c>
      <c r="D34" s="180">
        <f>B34/National!B34</f>
        <v>1.5838158410277315E-3</v>
      </c>
      <c r="E34" s="51"/>
      <c r="F34" s="163" t="s">
        <v>19</v>
      </c>
      <c r="G34" s="169">
        <v>13977</v>
      </c>
      <c r="H34" s="106">
        <f t="shared" si="3"/>
        <v>2.2041082799534484E-2</v>
      </c>
      <c r="I34" s="113">
        <f>+G34/National!G34</f>
        <v>1.6275118316861428E-3</v>
      </c>
    </row>
    <row r="35" spans="1:9">
      <c r="B35" s="49"/>
      <c r="C35" s="96"/>
      <c r="D35" s="96"/>
      <c r="E35" s="51"/>
      <c r="F35" s="163" t="s">
        <v>20</v>
      </c>
      <c r="G35" s="169">
        <v>3105</v>
      </c>
      <c r="H35" s="106">
        <f t="shared" si="3"/>
        <v>4.8964414461296823E-3</v>
      </c>
      <c r="I35" s="113">
        <f>+G35/National!G35</f>
        <v>2.3289729409347709E-4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93915</v>
      </c>
      <c r="H36" s="106">
        <f t="shared" si="3"/>
        <v>0.14809961301554561</v>
      </c>
      <c r="I36" s="113">
        <f>+G36/National!G36</f>
        <v>5.9362585585564518E-3</v>
      </c>
    </row>
    <row r="37" spans="1:9">
      <c r="A37" s="146" t="s">
        <v>5</v>
      </c>
      <c r="B37" s="149">
        <f>86+304</f>
        <v>390</v>
      </c>
      <c r="C37" s="174">
        <f>B37/B$43</f>
        <v>2.8846153846153848E-2</v>
      </c>
      <c r="D37" s="77">
        <f>B37/National!B37</f>
        <v>1.8259452778245969E-3</v>
      </c>
      <c r="E37" s="51"/>
      <c r="F37" s="163" t="s">
        <v>22</v>
      </c>
      <c r="G37" s="170">
        <v>24022</v>
      </c>
      <c r="H37" s="106">
        <f t="shared" si="3"/>
        <v>3.7881583387738241E-2</v>
      </c>
      <c r="I37" s="114">
        <f>+G37/National!G37</f>
        <v>9.3630509966668052E-4</v>
      </c>
    </row>
    <row r="38" spans="1:9">
      <c r="A38" s="146" t="s">
        <v>7</v>
      </c>
      <c r="B38" s="157">
        <f>108+978</f>
        <v>1086</v>
      </c>
      <c r="C38" s="175">
        <f t="shared" ref="C38:C42" si="4">B38/B$43</f>
        <v>8.0325443786982254E-2</v>
      </c>
      <c r="D38" s="78">
        <f>B38/National!B38</f>
        <v>2.2742598184780469E-3</v>
      </c>
      <c r="E38" s="51"/>
      <c r="F38" s="47" t="s">
        <v>1</v>
      </c>
      <c r="G38" s="187">
        <f>SUM(G31:G37)</f>
        <v>634134</v>
      </c>
      <c r="H38" s="188">
        <f>SUM(H31:H37)</f>
        <v>1</v>
      </c>
      <c r="I38" s="188">
        <f>+G38/National!G39</f>
        <v>3.1505096211410007E-3</v>
      </c>
    </row>
    <row r="39" spans="1:9">
      <c r="A39" s="146" t="s">
        <v>6</v>
      </c>
      <c r="B39" s="157">
        <f>143+722</f>
        <v>865</v>
      </c>
      <c r="C39" s="175">
        <f t="shared" si="4"/>
        <v>6.3979289940828396E-2</v>
      </c>
      <c r="D39" s="78">
        <f>B39/National!B39</f>
        <v>1.5650868035137556E-3</v>
      </c>
      <c r="E39" s="51"/>
      <c r="H39" s="87"/>
      <c r="I39" s="87"/>
    </row>
    <row r="40" spans="1:9" ht="23.25">
      <c r="A40" s="146" t="s">
        <v>30</v>
      </c>
      <c r="B40" s="157">
        <f>295+248+1226</f>
        <v>1769</v>
      </c>
      <c r="C40" s="175">
        <f t="shared" si="4"/>
        <v>0.13084319526627219</v>
      </c>
      <c r="D40" s="78">
        <f>B40/National!B40</f>
        <v>1.0995814255896031E-3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1619+7433</f>
        <v>9052</v>
      </c>
      <c r="C41" s="175">
        <f t="shared" si="4"/>
        <v>0.66952662721893497</v>
      </c>
      <c r="D41" s="78">
        <f>B41/National!B41</f>
        <v>1.6226281700583156E-3</v>
      </c>
      <c r="E41" s="51"/>
      <c r="F41" s="163" t="s">
        <v>38</v>
      </c>
      <c r="G41" s="168">
        <v>303890</v>
      </c>
      <c r="H41" s="189">
        <f>G41/G$47</f>
        <v>0.47529525111398546</v>
      </c>
      <c r="I41" s="113">
        <f>+G41/National!G42</f>
        <v>3.3509422930444411E-3</v>
      </c>
    </row>
    <row r="42" spans="1:9">
      <c r="A42" s="156" t="s">
        <v>29</v>
      </c>
      <c r="B42" s="150">
        <v>358</v>
      </c>
      <c r="C42" s="175">
        <f t="shared" si="4"/>
        <v>2.6479289940828401E-2</v>
      </c>
      <c r="D42" s="78">
        <f>B42/National!B42</f>
        <v>6.7828723001136793E-3</v>
      </c>
      <c r="E42" s="51"/>
      <c r="F42" s="163" t="s">
        <v>39</v>
      </c>
      <c r="G42" s="169">
        <v>164849</v>
      </c>
      <c r="H42" s="86">
        <f t="shared" ref="H42:H46" si="5">G42/G$47</f>
        <v>0.25782996100855371</v>
      </c>
      <c r="I42" s="113">
        <f>+G42/National!G43</f>
        <v>3.7015059640862599E-3</v>
      </c>
    </row>
    <row r="43" spans="1:9">
      <c r="A43" s="9" t="s">
        <v>1</v>
      </c>
      <c r="B43" s="154">
        <f>SUM(B37:B42)</f>
        <v>13520</v>
      </c>
      <c r="C43" s="178">
        <f>SUM(C37:C42)</f>
        <v>1</v>
      </c>
      <c r="D43" s="179">
        <f>B43/National!B43</f>
        <v>1.5935937531124879E-3</v>
      </c>
      <c r="E43" s="51"/>
      <c r="F43" s="163" t="s">
        <v>40</v>
      </c>
      <c r="G43" s="169">
        <v>66514</v>
      </c>
      <c r="H43" s="86">
        <f t="shared" si="5"/>
        <v>0.10403036734540666</v>
      </c>
      <c r="I43" s="113">
        <f>+G43/National!G44</f>
        <v>5.077026709844115E-3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49180</v>
      </c>
      <c r="H44" s="86">
        <f t="shared" si="5"/>
        <v>7.6919347296014365E-2</v>
      </c>
      <c r="I44" s="113">
        <f>+G44/National!G45</f>
        <v>3.3404630052891798E-3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32279</v>
      </c>
      <c r="H45" s="86">
        <f t="shared" si="5"/>
        <v>5.0485555334852536E-2</v>
      </c>
      <c r="I45" s="113">
        <f>+G45/National!G46</f>
        <v>3.8802214968285901E-3</v>
      </c>
    </row>
    <row r="46" spans="1:9">
      <c r="A46" s="8" t="s">
        <v>3</v>
      </c>
      <c r="B46" s="52">
        <v>874</v>
      </c>
      <c r="C46" s="93">
        <f>B46/B$48</f>
        <v>0.10675461096860878</v>
      </c>
      <c r="D46" s="77">
        <f>B46/National!B48</f>
        <v>8.8245569042565868E-4</v>
      </c>
      <c r="E46" s="51"/>
      <c r="F46" s="163" t="s">
        <v>43</v>
      </c>
      <c r="G46" s="170">
        <v>22659</v>
      </c>
      <c r="H46" s="86">
        <f t="shared" si="5"/>
        <v>3.543951790118726E-2</v>
      </c>
      <c r="I46" s="113">
        <f>+G46/National!G47</f>
        <v>2.8444557591661484E-3</v>
      </c>
    </row>
    <row r="47" spans="1:9">
      <c r="A47" s="8" t="s">
        <v>2</v>
      </c>
      <c r="B47" s="52">
        <v>7313</v>
      </c>
      <c r="C47" s="97">
        <f>B47/B$48</f>
        <v>0.89324538903139128</v>
      </c>
      <c r="D47" s="78">
        <f>B47/National!B49</f>
        <v>3.687677469163039E-3</v>
      </c>
      <c r="E47" s="51"/>
      <c r="F47" s="9" t="s">
        <v>1</v>
      </c>
      <c r="G47" s="191">
        <f>SUM(G41:G46)</f>
        <v>639371</v>
      </c>
      <c r="H47" s="182">
        <f>SUM(H41:H46)</f>
        <v>0.99999999999999989</v>
      </c>
      <c r="I47" s="188">
        <f>+G47/National!G49</f>
        <v>3.5242704374182886E-3</v>
      </c>
    </row>
    <row r="48" spans="1:9">
      <c r="A48" s="9" t="s">
        <v>1</v>
      </c>
      <c r="B48" s="155">
        <f>SUM(B46:B47)</f>
        <v>8187</v>
      </c>
      <c r="C48" s="165">
        <f>SUM(C46:C47)</f>
        <v>1</v>
      </c>
      <c r="D48" s="177">
        <f>B48/National!B50</f>
        <v>2.753312668634936E-3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75643</v>
      </c>
      <c r="H50" s="189">
        <f>G50/G$52</f>
        <v>0.85373919324620207</v>
      </c>
      <c r="I50" s="113">
        <f>+G50/National!G52</f>
        <v>2.4134936896534846E-3</v>
      </c>
    </row>
    <row r="51" spans="1:9">
      <c r="A51" s="146" t="s">
        <v>5</v>
      </c>
      <c r="B51" s="149">
        <f>404+1737</f>
        <v>2141</v>
      </c>
      <c r="C51" s="174">
        <f>B51/B$57</f>
        <v>0.26151215341394896</v>
      </c>
      <c r="D51" s="77">
        <f>B51/National!B53</f>
        <v>2.976169790417039E-3</v>
      </c>
      <c r="E51" s="51"/>
      <c r="F51" s="163" t="s">
        <v>97</v>
      </c>
      <c r="G51" s="194">
        <v>12959</v>
      </c>
      <c r="H51" s="86">
        <f>G51/G$52</f>
        <v>0.14626080675379788</v>
      </c>
      <c r="I51" s="113">
        <f>+G51/National!G53</f>
        <v>2.5697866932284665E-3</v>
      </c>
    </row>
    <row r="52" spans="1:9">
      <c r="A52" s="146" t="s">
        <v>7</v>
      </c>
      <c r="B52" s="157">
        <f>125+2157</f>
        <v>2282</v>
      </c>
      <c r="C52" s="175">
        <f t="shared" ref="C52:C56" si="6">B52/B$57</f>
        <v>0.27873457921094419</v>
      </c>
      <c r="D52" s="78">
        <f>B52/National!B54</f>
        <v>3.3320338109443146E-3</v>
      </c>
      <c r="E52" s="51"/>
      <c r="F52" s="60" t="s">
        <v>1</v>
      </c>
      <c r="G52" s="190">
        <f>SUM(G50:G51)</f>
        <v>88602</v>
      </c>
      <c r="H52" s="185">
        <f>SUM(H50:H51)</f>
        <v>1</v>
      </c>
      <c r="I52" s="192">
        <f>+G52/National!G54</f>
        <v>2.435155619559553E-3</v>
      </c>
    </row>
    <row r="53" spans="1:9">
      <c r="A53" s="146" t="s">
        <v>6</v>
      </c>
      <c r="B53" s="157">
        <f>135+1149</f>
        <v>1284</v>
      </c>
      <c r="C53" s="175">
        <f t="shared" si="6"/>
        <v>0.15683400513008428</v>
      </c>
      <c r="D53" s="78">
        <f>B53/National!B55</f>
        <v>2.4271844660194173E-3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151+37+772</f>
        <v>960</v>
      </c>
      <c r="C54" s="175">
        <f t="shared" si="6"/>
        <v>0.11725906925613779</v>
      </c>
      <c r="D54" s="78">
        <f>B54/National!B56</f>
        <v>2.3046618988973632E-3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22+287</f>
        <v>309</v>
      </c>
      <c r="C55" s="175">
        <f t="shared" si="6"/>
        <v>3.7742762916819349E-2</v>
      </c>
      <c r="D55" s="78">
        <f>B55/National!B57</f>
        <v>7.7041602465331282E-4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1211</v>
      </c>
      <c r="C56" s="175">
        <f t="shared" si="6"/>
        <v>0.14791743007206548</v>
      </c>
      <c r="D56" s="78">
        <f>B56/National!B58</f>
        <v>5.4396650855253704E-3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8187</v>
      </c>
      <c r="C57" s="178">
        <f>SUM(C51:C56)</f>
        <v>1</v>
      </c>
      <c r="D57" s="177">
        <f>B57/National!B59</f>
        <v>2.753312668634936E-3</v>
      </c>
      <c r="E57" s="51"/>
      <c r="F57" s="51"/>
      <c r="G57" s="51"/>
      <c r="H57" s="87"/>
      <c r="I57" s="87"/>
    </row>
  </sheetData>
  <hyperlinks>
    <hyperlink ref="F2" r:id="rId1"/>
  </hyperlinks>
  <printOptions horizontalCentered="1" verticalCentered="1"/>
  <pageMargins left="0.7" right="0.7" top="0.75" bottom="0.75" header="0.3" footer="0.3"/>
  <pageSetup scale="80" orientation="portrait" horizontalDpi="1200" verticalDpi="1200"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4" sqref="A4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80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4479800</v>
      </c>
      <c r="C4" s="99"/>
      <c r="D4" s="77">
        <f>B4/National!B4</f>
        <v>1.4733289700677358E-2</v>
      </c>
      <c r="E4" s="1"/>
      <c r="F4" s="146" t="s">
        <v>10</v>
      </c>
      <c r="G4" s="195">
        <v>1528587</v>
      </c>
      <c r="H4" s="189">
        <f>G4/G$6</f>
        <v>0.47987165223418787</v>
      </c>
      <c r="I4" s="112">
        <f>+G4/National!G4</f>
        <v>1.4752114595508846E-2</v>
      </c>
    </row>
    <row r="5" spans="1:9">
      <c r="A5" s="8" t="s">
        <v>167</v>
      </c>
      <c r="B5" s="50">
        <f>27245+2865</f>
        <v>30110</v>
      </c>
      <c r="C5" s="100"/>
      <c r="D5" s="79">
        <f>B5/National!B5</f>
        <v>8.5118027410209813E-3</v>
      </c>
      <c r="E5" s="1"/>
      <c r="F5" s="146" t="s">
        <v>11</v>
      </c>
      <c r="G5" s="196">
        <v>1656821</v>
      </c>
      <c r="H5" s="86">
        <f>G5/G$6</f>
        <v>0.52012834776581207</v>
      </c>
      <c r="I5" s="113">
        <f>+G5/National!G5</f>
        <v>1.5824091738684331E-2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3185408</v>
      </c>
      <c r="H6" s="182">
        <f>SUM(H4:H5)</f>
        <v>1</v>
      </c>
      <c r="I6" s="183">
        <f>+G6/National!G6</f>
        <v>1.5290892905978128E-2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2577736</v>
      </c>
      <c r="C8" s="174">
        <f>B8/B10</f>
        <v>0.79176164120924031</v>
      </c>
      <c r="D8" s="77">
        <f>B8/National!B8</f>
        <v>1.8869841760465106E-2</v>
      </c>
      <c r="E8" s="1"/>
      <c r="F8" s="146" t="s">
        <v>32</v>
      </c>
      <c r="G8" s="200">
        <f>16/100</f>
        <v>0.16</v>
      </c>
      <c r="H8" s="87"/>
      <c r="I8" s="87"/>
    </row>
    <row r="9" spans="1:9">
      <c r="A9" s="146" t="s">
        <v>169</v>
      </c>
      <c r="B9" s="150">
        <v>677961</v>
      </c>
      <c r="C9" s="175">
        <f>B9/B10</f>
        <v>0.20823835879075969</v>
      </c>
      <c r="D9" s="78">
        <f>B9/National!B9</f>
        <v>1.7581786006100504E-2</v>
      </c>
      <c r="E9" s="1"/>
      <c r="F9" s="146" t="s">
        <v>31</v>
      </c>
      <c r="G9" s="201">
        <f>16/100</f>
        <v>0.16</v>
      </c>
      <c r="H9" s="87"/>
      <c r="I9" s="87"/>
    </row>
    <row r="10" spans="1:9">
      <c r="A10" s="9" t="s">
        <v>9</v>
      </c>
      <c r="B10" s="152">
        <f>SUM(B8:B9)</f>
        <v>3255697</v>
      </c>
      <c r="C10" s="176">
        <f>SUM(C8:C9)</f>
        <v>1</v>
      </c>
      <c r="D10" s="165"/>
      <c r="E10" s="1"/>
      <c r="F10" s="146" t="s">
        <v>33</v>
      </c>
      <c r="G10" s="202">
        <f>16/100</f>
        <v>0.16</v>
      </c>
      <c r="H10" s="87"/>
      <c r="I10" s="87"/>
    </row>
    <row r="11" spans="1:9">
      <c r="A11" s="146" t="s">
        <v>170</v>
      </c>
      <c r="B11" s="149">
        <v>78046</v>
      </c>
      <c r="C11" s="93">
        <f>B11/(B12+B11)</f>
        <v>3.0307513736162386E-2</v>
      </c>
      <c r="D11" s="77">
        <f>B11/National!B11</f>
        <v>2.0694193874098609E-2</v>
      </c>
      <c r="E11" s="1"/>
      <c r="G11" s="49"/>
      <c r="H11" s="87"/>
      <c r="I11" s="86"/>
    </row>
    <row r="12" spans="1:9" ht="23.25">
      <c r="A12" s="146" t="s">
        <v>171</v>
      </c>
      <c r="B12" s="150">
        <v>2497091</v>
      </c>
      <c r="C12" s="95">
        <f>B12/(B11+B12)</f>
        <v>0.96969248626383764</v>
      </c>
      <c r="D12" s="79">
        <f>B12/National!B12</f>
        <v>1.8888038676573571E-2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1996617</v>
      </c>
      <c r="H13" s="189">
        <f>G13/G$18</f>
        <v>0.53864791513791166</v>
      </c>
      <c r="I13" s="92">
        <f>+G13/National!G13</f>
        <v>1.4565358088424423E-2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1588355</v>
      </c>
      <c r="H14" s="86">
        <f>G14/G$18</f>
        <v>0.42850687400181292</v>
      </c>
      <c r="I14" s="106">
        <f>+G14/National!G14</f>
        <v>1.4407947519841129E-2</v>
      </c>
    </row>
    <row r="15" spans="1:9">
      <c r="A15" s="146" t="s">
        <v>3</v>
      </c>
      <c r="B15" s="149">
        <v>49833</v>
      </c>
      <c r="C15" s="174">
        <f>B15/B$17</f>
        <v>0.7521508135357865</v>
      </c>
      <c r="D15" s="77">
        <f>B15/National!B15</f>
        <v>1.6738052980826462E-2</v>
      </c>
      <c r="E15" s="3"/>
      <c r="F15" s="146" t="s">
        <v>13</v>
      </c>
      <c r="G15" s="150">
        <v>18988</v>
      </c>
      <c r="H15" s="86">
        <f>G15/G$18</f>
        <v>5.1225881641990762E-3</v>
      </c>
      <c r="I15" s="106">
        <f>+G15/National!G15</f>
        <v>2.2516091392468705E-2</v>
      </c>
    </row>
    <row r="16" spans="1:9">
      <c r="A16" s="146" t="s">
        <v>2</v>
      </c>
      <c r="B16" s="150">
        <v>16421</v>
      </c>
      <c r="C16" s="175">
        <f>B16/B$17</f>
        <v>0.24784918646421347</v>
      </c>
      <c r="D16" s="78">
        <f>B16/National!B16</f>
        <v>1.5410965332132065E-2</v>
      </c>
      <c r="E16" s="1"/>
      <c r="F16" s="9" t="s">
        <v>1</v>
      </c>
      <c r="G16" s="162">
        <v>3603960</v>
      </c>
      <c r="H16" s="105"/>
      <c r="I16" s="106"/>
    </row>
    <row r="17" spans="1:9">
      <c r="A17" s="9" t="s">
        <v>1</v>
      </c>
      <c r="B17" s="154">
        <f>SUM(B15:B16)</f>
        <v>66254</v>
      </c>
      <c r="C17" s="176">
        <f>SUM(C15:C16)</f>
        <v>1</v>
      </c>
      <c r="D17" s="177">
        <f>B17/National!B17</f>
        <v>1.6388276547157788E-2</v>
      </c>
      <c r="E17" s="1"/>
      <c r="F17" s="108" t="s">
        <v>35</v>
      </c>
      <c r="G17" s="117">
        <v>102760</v>
      </c>
      <c r="H17" s="105">
        <f>G17/G$18</f>
        <v>2.7722622696076317E-2</v>
      </c>
      <c r="I17" s="106">
        <f>+G17/National!G17</f>
        <v>1.3334260693360795E-2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3706720</v>
      </c>
      <c r="H18" s="185">
        <f>SUM(H13:H17)</f>
        <v>0.99999999999999989</v>
      </c>
      <c r="I18" s="186">
        <f>+G18/National!G18</f>
        <v>1.4486663489391042E-2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581+262</f>
        <v>843</v>
      </c>
      <c r="C20" s="174">
        <f>B20/B$26</f>
        <v>1.2723568032601313E-2</v>
      </c>
      <c r="D20" s="77">
        <f>B20/National!B20</f>
        <v>1.8031699856687556E-2</v>
      </c>
      <c r="E20" s="51"/>
      <c r="F20" s="163" t="s">
        <v>3</v>
      </c>
      <c r="G20" s="108">
        <f>824+42</f>
        <v>866</v>
      </c>
      <c r="H20" s="189">
        <f>G20/G$23</f>
        <v>0.94130434782608696</v>
      </c>
      <c r="I20" s="92">
        <f>+G20/National!G20</f>
        <v>4.1620608449079638E-2</v>
      </c>
    </row>
    <row r="21" spans="1:9">
      <c r="A21" s="146" t="s">
        <v>7</v>
      </c>
      <c r="B21" s="157">
        <f>1281+1058</f>
        <v>2339</v>
      </c>
      <c r="C21" s="175">
        <f t="shared" ref="C21:C25" si="0">B21/B$26</f>
        <v>3.5302996000301866E-2</v>
      </c>
      <c r="D21" s="78">
        <f>B21/National!B21</f>
        <v>1.466402517773626E-2</v>
      </c>
      <c r="E21" s="51"/>
      <c r="F21" s="163" t="s">
        <v>2</v>
      </c>
      <c r="G21" s="198">
        <f>43+0</f>
        <v>43</v>
      </c>
      <c r="H21" s="86">
        <f t="shared" ref="H21:H22" si="1">G21/G$23</f>
        <v>4.6739130434782609E-2</v>
      </c>
      <c r="I21" s="106">
        <f>+G21/National!G21</f>
        <v>2.6949110052644771E-3</v>
      </c>
    </row>
    <row r="22" spans="1:9">
      <c r="A22" s="146" t="s">
        <v>6</v>
      </c>
      <c r="B22" s="157">
        <f>3289+1518</f>
        <v>4807</v>
      </c>
      <c r="C22" s="175">
        <f t="shared" si="0"/>
        <v>7.2553014866802504E-2</v>
      </c>
      <c r="D22" s="78">
        <f>B22/National!B22</f>
        <v>1.9929932212525134E-2</v>
      </c>
      <c r="E22" s="51"/>
      <c r="F22" s="163" t="s">
        <v>28</v>
      </c>
      <c r="G22" s="181">
        <v>11</v>
      </c>
      <c r="H22" s="86">
        <f t="shared" si="1"/>
        <v>1.1956521739130435E-2</v>
      </c>
      <c r="I22" s="106">
        <f>+G22/National!G22</f>
        <v>2.2088353413654619E-2</v>
      </c>
    </row>
    <row r="23" spans="1:9">
      <c r="A23" s="146" t="s">
        <v>30</v>
      </c>
      <c r="B23" s="157">
        <f>10486+2154+2448</f>
        <v>15088</v>
      </c>
      <c r="C23" s="175">
        <f t="shared" si="0"/>
        <v>0.22772620934269111</v>
      </c>
      <c r="D23" s="78">
        <f>B23/National!B23</f>
        <v>1.8986091379373262E-2</v>
      </c>
      <c r="E23" s="51"/>
      <c r="F23" s="9" t="s">
        <v>1</v>
      </c>
      <c r="G23" s="197">
        <f>SUM(G20:G22)</f>
        <v>920</v>
      </c>
      <c r="H23" s="132">
        <f>SUM(H20:H22)</f>
        <v>1</v>
      </c>
      <c r="I23" s="133">
        <f>+G23/National!G23</f>
        <v>2.4690695365127076E-2</v>
      </c>
    </row>
    <row r="24" spans="1:9">
      <c r="A24" s="146" t="s">
        <v>8</v>
      </c>
      <c r="B24" s="157">
        <f>32042+11052</f>
        <v>43094</v>
      </c>
      <c r="C24" s="175">
        <f t="shared" si="0"/>
        <v>0.65042638291449706</v>
      </c>
      <c r="D24" s="78">
        <f>B24/National!B24</f>
        <v>1.5449732262958787E-2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84</v>
      </c>
      <c r="C25" s="175">
        <f t="shared" si="0"/>
        <v>1.2678288431061807E-3</v>
      </c>
      <c r="D25" s="78">
        <f>B25/National!B25</f>
        <v>7.4106749007498895E-3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66255</v>
      </c>
      <c r="C26" s="176">
        <f>SUM(C20:C25)</f>
        <v>1</v>
      </c>
      <c r="D26" s="177">
        <f>B26/National!B26</f>
        <v>1.6388483364656679E-2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1430676</v>
      </c>
      <c r="H27" s="87"/>
      <c r="I27" s="113">
        <f>+G27/National!G27</f>
        <v>1.0361271523083651E-2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1470375</v>
      </c>
      <c r="H28" s="87"/>
      <c r="I28" s="114">
        <f>+G28/National!G28</f>
        <v>1.105705880754301E-2</v>
      </c>
    </row>
    <row r="29" spans="1:9">
      <c r="A29" s="146" t="s">
        <v>91</v>
      </c>
      <c r="B29" s="149">
        <f>30264+11165</f>
        <v>41429</v>
      </c>
      <c r="C29" s="174">
        <f>B29/B$34</f>
        <v>0.62529620406007091</v>
      </c>
      <c r="D29" s="77">
        <f>B29/National!B29</f>
        <v>5.3132290155732793E-2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16885+3376</f>
        <v>20261</v>
      </c>
      <c r="C30" s="175">
        <f t="shared" ref="C30:C33" si="2">B30/B$34</f>
        <v>0.30580333559731343</v>
      </c>
      <c r="D30" s="78">
        <f>B30/National!B30</f>
        <v>1.1331363958197943E-2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324+1879</f>
        <v>2203</v>
      </c>
      <c r="C31" s="175">
        <f t="shared" si="2"/>
        <v>3.3250320730510902E-2</v>
      </c>
      <c r="D31" s="78">
        <f>B31/National!B31</f>
        <v>1.712477845838127E-3</v>
      </c>
      <c r="E31" s="51"/>
      <c r="F31" s="163" t="s">
        <v>16</v>
      </c>
      <c r="G31" s="168">
        <v>556680</v>
      </c>
      <c r="H31" s="92">
        <f>G31/G$38</f>
        <v>0.35628181259044167</v>
      </c>
      <c r="I31" s="112">
        <f>+G31/National!G31</f>
        <v>1.3178407581149547E-2</v>
      </c>
    </row>
    <row r="32" spans="1:9">
      <c r="A32" s="146" t="s">
        <v>94</v>
      </c>
      <c r="B32" s="157">
        <f>191+0</f>
        <v>191</v>
      </c>
      <c r="C32" s="175">
        <f t="shared" si="2"/>
        <v>2.8828012980152439E-3</v>
      </c>
      <c r="D32" s="78">
        <f>B32/National!B32</f>
        <v>3.3498781065296316E-3</v>
      </c>
      <c r="E32" s="51"/>
      <c r="F32" s="163" t="s">
        <v>17</v>
      </c>
      <c r="G32" s="169">
        <v>584653</v>
      </c>
      <c r="H32" s="106">
        <f t="shared" ref="H32:H37" si="3">G32/G$38</f>
        <v>0.37418486487109198</v>
      </c>
      <c r="I32" s="113">
        <f>+G32/National!G32</f>
        <v>9.3977179503496669E-3</v>
      </c>
    </row>
    <row r="33" spans="1:9">
      <c r="A33" s="146" t="s">
        <v>95</v>
      </c>
      <c r="B33" s="150">
        <f>2169+2</f>
        <v>2171</v>
      </c>
      <c r="C33" s="175">
        <f t="shared" si="2"/>
        <v>3.2767338314089504E-2</v>
      </c>
      <c r="D33" s="78">
        <f>B33/National!B33</f>
        <v>1.6505489158531766E-2</v>
      </c>
      <c r="E33" s="51"/>
      <c r="F33" s="163" t="s">
        <v>18</v>
      </c>
      <c r="G33" s="169">
        <v>290846</v>
      </c>
      <c r="H33" s="106">
        <f t="shared" si="3"/>
        <v>0.1861448948492484</v>
      </c>
      <c r="I33" s="113">
        <f>+G33/National!G33</f>
        <v>9.1555074810039886E-3</v>
      </c>
    </row>
    <row r="34" spans="1:9">
      <c r="A34" s="9" t="s">
        <v>1</v>
      </c>
      <c r="B34" s="154">
        <f>SUM(B29:B33)</f>
        <v>66255</v>
      </c>
      <c r="C34" s="176">
        <f>SUM(C29:C33)</f>
        <v>1</v>
      </c>
      <c r="D34" s="180">
        <f>B34/National!B34</f>
        <v>1.6388523902435163E-2</v>
      </c>
      <c r="E34" s="51"/>
      <c r="F34" s="163" t="s">
        <v>19</v>
      </c>
      <c r="G34" s="169">
        <v>60223</v>
      </c>
      <c r="H34" s="106">
        <f t="shared" si="3"/>
        <v>3.8543435366160395E-2</v>
      </c>
      <c r="I34" s="113">
        <f>+G34/National!G34</f>
        <v>7.0124951734731756E-3</v>
      </c>
    </row>
    <row r="35" spans="1:9">
      <c r="B35" s="49"/>
      <c r="C35" s="96"/>
      <c r="D35" s="96"/>
      <c r="E35" s="51"/>
      <c r="F35" s="163" t="s">
        <v>20</v>
      </c>
      <c r="G35" s="169">
        <v>33378</v>
      </c>
      <c r="H35" s="106">
        <f t="shared" si="3"/>
        <v>2.1362316484593954E-2</v>
      </c>
      <c r="I35" s="113">
        <f>+G35/National!G35</f>
        <v>2.5035896561198322E-3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22237</v>
      </c>
      <c r="H36" s="106">
        <f t="shared" si="3"/>
        <v>1.4231944144883329E-2</v>
      </c>
      <c r="I36" s="113">
        <f>+G36/National!G36</f>
        <v>1.4055750579419668E-3</v>
      </c>
    </row>
    <row r="37" spans="1:9">
      <c r="A37" s="146" t="s">
        <v>5</v>
      </c>
      <c r="B37" s="149">
        <f>2373+1363</f>
        <v>3736</v>
      </c>
      <c r="C37" s="174">
        <f>B37/B$43</f>
        <v>2.6744935213687451E-2</v>
      </c>
      <c r="D37" s="77">
        <f>B37/National!B37</f>
        <v>1.7491619379365882E-2</v>
      </c>
      <c r="E37" s="51"/>
      <c r="F37" s="163" t="s">
        <v>22</v>
      </c>
      <c r="G37" s="170">
        <v>14454</v>
      </c>
      <c r="H37" s="106">
        <f t="shared" si="3"/>
        <v>9.2507316935802331E-3</v>
      </c>
      <c r="I37" s="114">
        <f>+G37/National!G37</f>
        <v>5.6337332073025566E-4</v>
      </c>
    </row>
    <row r="38" spans="1:9">
      <c r="A38" s="146" t="s">
        <v>7</v>
      </c>
      <c r="B38" s="157">
        <f>3742+3940</f>
        <v>7682</v>
      </c>
      <c r="C38" s="175">
        <f t="shared" ref="C38:C42" si="4">B38/B$43</f>
        <v>5.4993199226859475E-2</v>
      </c>
      <c r="D38" s="78">
        <f>B38/National!B38</f>
        <v>1.6087351680983752E-2</v>
      </c>
      <c r="E38" s="51"/>
      <c r="F38" s="47" t="s">
        <v>1</v>
      </c>
      <c r="G38" s="187">
        <f>SUM(G31:G37)</f>
        <v>1562471</v>
      </c>
      <c r="H38" s="188">
        <f>SUM(H31:H37)</f>
        <v>1</v>
      </c>
      <c r="I38" s="188">
        <f>+G38/National!G39</f>
        <v>7.7626809448063045E-3</v>
      </c>
    </row>
    <row r="39" spans="1:9">
      <c r="A39" s="146" t="s">
        <v>6</v>
      </c>
      <c r="B39" s="157">
        <f>7196+4036</f>
        <v>11232</v>
      </c>
      <c r="C39" s="175">
        <f t="shared" si="4"/>
        <v>8.0406614646717736E-2</v>
      </c>
      <c r="D39" s="78">
        <f>B39/National!B39</f>
        <v>2.0322606909903472E-2</v>
      </c>
      <c r="E39" s="51"/>
      <c r="H39" s="87"/>
      <c r="I39" s="87"/>
    </row>
    <row r="40" spans="1:9" ht="23.25">
      <c r="A40" s="146" t="s">
        <v>30</v>
      </c>
      <c r="B40" s="157">
        <f>21060+4307+5157</f>
        <v>30524</v>
      </c>
      <c r="C40" s="175">
        <f t="shared" si="4"/>
        <v>0.21851242035936716</v>
      </c>
      <c r="D40" s="78">
        <f>B40/National!B40</f>
        <v>1.8973218448104606E-2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64084+22104</f>
        <v>86188</v>
      </c>
      <c r="C41" s="175">
        <f t="shared" si="4"/>
        <v>0.61699477414274462</v>
      </c>
      <c r="D41" s="78">
        <f>B41/National!B41</f>
        <v>1.5449743340807127E-2</v>
      </c>
      <c r="E41" s="51"/>
      <c r="F41" s="163" t="s">
        <v>38</v>
      </c>
      <c r="G41" s="168">
        <v>787724</v>
      </c>
      <c r="H41" s="189">
        <f>G41/G$47</f>
        <v>0.42509110552159091</v>
      </c>
      <c r="I41" s="113">
        <f>+G41/National!G42</f>
        <v>8.6860958466752416E-3</v>
      </c>
    </row>
    <row r="42" spans="1:9">
      <c r="A42" s="156" t="s">
        <v>29</v>
      </c>
      <c r="B42" s="150">
        <f>328</f>
        <v>328</v>
      </c>
      <c r="C42" s="175">
        <f t="shared" si="4"/>
        <v>2.3480564106235233E-3</v>
      </c>
      <c r="D42" s="78">
        <f>B42/National!B42</f>
        <v>6.2144751799924217E-3</v>
      </c>
      <c r="E42" s="51"/>
      <c r="F42" s="163" t="s">
        <v>39</v>
      </c>
      <c r="G42" s="169">
        <v>684741</v>
      </c>
      <c r="H42" s="86">
        <f t="shared" ref="H42:H46" si="5">G42/G$47</f>
        <v>0.36951687226231483</v>
      </c>
      <c r="I42" s="113">
        <f>+G42/National!G43</f>
        <v>1.5375118413544456E-2</v>
      </c>
    </row>
    <row r="43" spans="1:9">
      <c r="A43" s="9" t="s">
        <v>1</v>
      </c>
      <c r="B43" s="154">
        <f>SUM(B37:B42)</f>
        <v>139690</v>
      </c>
      <c r="C43" s="178">
        <f>SUM(C37:C42)</f>
        <v>1</v>
      </c>
      <c r="D43" s="179">
        <f>B43/National!B43</f>
        <v>1.6465170959488417E-2</v>
      </c>
      <c r="E43" s="51"/>
      <c r="F43" s="163" t="s">
        <v>40</v>
      </c>
      <c r="G43" s="169">
        <v>138692</v>
      </c>
      <c r="H43" s="86">
        <f t="shared" si="5"/>
        <v>7.4844406933139637E-2</v>
      </c>
      <c r="I43" s="113">
        <f>+G43/National!G44</f>
        <v>1.058638765435397E-2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154897</v>
      </c>
      <c r="H44" s="86">
        <f t="shared" si="5"/>
        <v>8.3589349787460923E-2</v>
      </c>
      <c r="I44" s="113">
        <f>+G44/National!G45</f>
        <v>1.0521100002649005E-2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40587</v>
      </c>
      <c r="H45" s="86">
        <f t="shared" si="5"/>
        <v>2.190256066820969E-2</v>
      </c>
      <c r="I45" s="113">
        <f>+G45/National!G46</f>
        <v>4.8789166297525319E-3</v>
      </c>
    </row>
    <row r="46" spans="1:9">
      <c r="A46" s="8" t="s">
        <v>3</v>
      </c>
      <c r="B46" s="52">
        <v>24188</v>
      </c>
      <c r="C46" s="93">
        <f>B46/B$48</f>
        <v>0.487690787749259</v>
      </c>
      <c r="D46" s="77">
        <f>B46/National!B48</f>
        <v>2.4422011716265252E-2</v>
      </c>
      <c r="E46" s="51"/>
      <c r="F46" s="163" t="s">
        <v>43</v>
      </c>
      <c r="G46" s="170">
        <v>46430</v>
      </c>
      <c r="H46" s="86">
        <f t="shared" si="5"/>
        <v>2.5055704827284007E-2</v>
      </c>
      <c r="I46" s="113">
        <f>+G46/National!G47</f>
        <v>5.8285043866933353E-3</v>
      </c>
    </row>
    <row r="47" spans="1:9">
      <c r="A47" s="8" t="s">
        <v>2</v>
      </c>
      <c r="B47" s="52">
        <v>25409</v>
      </c>
      <c r="C47" s="97">
        <f>B47/B$48</f>
        <v>0.512309212250741</v>
      </c>
      <c r="D47" s="78">
        <f>B47/National!B49</f>
        <v>1.2812826037736039E-2</v>
      </c>
      <c r="E47" s="51"/>
      <c r="F47" s="9" t="s">
        <v>1</v>
      </c>
      <c r="G47" s="191">
        <f>SUM(G41:G46)</f>
        <v>1853071</v>
      </c>
      <c r="H47" s="182">
        <f>SUM(H41:H46)</f>
        <v>1</v>
      </c>
      <c r="I47" s="188">
        <f>+G47/National!G49</f>
        <v>1.0214293960372219E-2</v>
      </c>
    </row>
    <row r="48" spans="1:9">
      <c r="A48" s="9" t="s">
        <v>1</v>
      </c>
      <c r="B48" s="155">
        <f>SUM(B46:B47)</f>
        <v>49597</v>
      </c>
      <c r="C48" s="165">
        <f>SUM(C46:C47)</f>
        <v>1</v>
      </c>
      <c r="D48" s="177">
        <f>B48/National!B50</f>
        <v>1.6679619937252588E-2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565074</v>
      </c>
      <c r="H50" s="189">
        <f>G50/G$52</f>
        <v>0.86124231270432772</v>
      </c>
      <c r="I50" s="113">
        <f>+G50/National!G52</f>
        <v>1.8029461195183338E-2</v>
      </c>
    </row>
    <row r="51" spans="1:9">
      <c r="A51" s="146" t="s">
        <v>5</v>
      </c>
      <c r="B51" s="149">
        <f>7355+6044</f>
        <v>13399</v>
      </c>
      <c r="C51" s="174">
        <f>B51/B$57</f>
        <v>0.27015746920176625</v>
      </c>
      <c r="D51" s="77">
        <f>B51/National!B53</f>
        <v>1.8625735180662264E-2</v>
      </c>
      <c r="E51" s="51"/>
      <c r="F51" s="163" t="s">
        <v>97</v>
      </c>
      <c r="G51" s="194">
        <v>91041</v>
      </c>
      <c r="H51" s="86">
        <f>G51/G$52</f>
        <v>0.13875768729567226</v>
      </c>
      <c r="I51" s="113">
        <f>+G51/National!G53</f>
        <v>1.8053549682707986E-2</v>
      </c>
    </row>
    <row r="52" spans="1:9">
      <c r="A52" s="146" t="s">
        <v>7</v>
      </c>
      <c r="B52" s="157">
        <f>3548+7452</f>
        <v>11000</v>
      </c>
      <c r="C52" s="175">
        <f t="shared" ref="C52:C56" si="6">B52/B$57</f>
        <v>0.22178760812145895</v>
      </c>
      <c r="D52" s="78">
        <f>B52/National!B54</f>
        <v>1.6061512673263566E-2</v>
      </c>
      <c r="E52" s="51"/>
      <c r="F52" s="60" t="s">
        <v>1</v>
      </c>
      <c r="G52" s="190">
        <f>SUM(G50:G51)</f>
        <v>656115</v>
      </c>
      <c r="H52" s="185">
        <f>SUM(H50:H51)</f>
        <v>1</v>
      </c>
      <c r="I52" s="192">
        <f>+G52/National!G54</f>
        <v>1.8032799816339543E-2</v>
      </c>
    </row>
    <row r="53" spans="1:9">
      <c r="A53" s="146" t="s">
        <v>6</v>
      </c>
      <c r="B53" s="157">
        <f>5102+5471</f>
        <v>10573</v>
      </c>
      <c r="C53" s="175">
        <f t="shared" si="6"/>
        <v>0.21317821642438051</v>
      </c>
      <c r="D53" s="78">
        <f>B53/National!B55</f>
        <v>1.9986465233039954E-2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5558+296+3513</f>
        <v>9367</v>
      </c>
      <c r="C54" s="175">
        <f t="shared" si="6"/>
        <v>0.18886222957033691</v>
      </c>
      <c r="D54" s="78">
        <f>B54/National!B56</f>
        <v>2.2487258340595419E-2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2329+2094</f>
        <v>4423</v>
      </c>
      <c r="C55" s="175">
        <f t="shared" si="6"/>
        <v>8.917878097465573E-2</v>
      </c>
      <c r="D55" s="78">
        <f>B55/National!B57</f>
        <v>1.1027670152238196E-2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835</v>
      </c>
      <c r="C56" s="175">
        <f t="shared" si="6"/>
        <v>1.6835695707401656E-2</v>
      </c>
      <c r="D56" s="78">
        <f>B56/National!B58</f>
        <v>3.7507187005893345E-3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49597</v>
      </c>
      <c r="C57" s="178">
        <f>SUM(C51:C56)</f>
        <v>1</v>
      </c>
      <c r="D57" s="177">
        <f>B57/National!B59</f>
        <v>1.6679619937252588E-2</v>
      </c>
      <c r="E57" s="51"/>
      <c r="F57" s="51"/>
      <c r="G57" s="51"/>
      <c r="H57" s="87"/>
      <c r="I57" s="87"/>
    </row>
  </sheetData>
  <hyperlinks>
    <hyperlink ref="F2" r:id="rId1"/>
  </hyperlinks>
  <printOptions horizontalCentered="1" verticalCentered="1"/>
  <pageMargins left="0.7" right="0.7" top="0.75" bottom="0.75" header="0.3" footer="0.3"/>
  <pageSetup scale="80" orientation="portrait" horizontalDpi="1200" verticalDpi="1200"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81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804194</v>
      </c>
      <c r="C4" s="99"/>
      <c r="D4" s="77">
        <f>B4/National!B4</f>
        <v>2.6448553903179891E-3</v>
      </c>
      <c r="E4" s="1"/>
      <c r="F4" s="146" t="s">
        <v>10</v>
      </c>
      <c r="G4" s="195">
        <v>298987</v>
      </c>
      <c r="H4" s="189">
        <f>G4/G$6</f>
        <v>0.50054241737342753</v>
      </c>
      <c r="I4" s="112">
        <f>+G4/National!G4</f>
        <v>2.8854690551256834E-3</v>
      </c>
    </row>
    <row r="5" spans="1:9">
      <c r="A5" s="8" t="s">
        <v>167</v>
      </c>
      <c r="B5" s="50">
        <f>75635+250</f>
        <v>75885</v>
      </c>
      <c r="C5" s="100"/>
      <c r="D5" s="79">
        <f>B5/National!B5</f>
        <v>2.1451947891145039E-2</v>
      </c>
      <c r="E5" s="1"/>
      <c r="F5" s="146" t="s">
        <v>11</v>
      </c>
      <c r="G5" s="196">
        <v>298339</v>
      </c>
      <c r="H5" s="86">
        <f>G5/G$6</f>
        <v>0.49945758262657242</v>
      </c>
      <c r="I5" s="113">
        <f>+G5/National!G5</f>
        <v>2.8493987613793792E-3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597326</v>
      </c>
      <c r="H6" s="182">
        <f>SUM(H4:H5)</f>
        <v>1</v>
      </c>
      <c r="I6" s="183">
        <f>+G6/National!G6</f>
        <v>2.8673400380598941E-3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422137</v>
      </c>
      <c r="C8" s="174">
        <f>B8/B10</f>
        <v>0.6723757583673261</v>
      </c>
      <c r="D8" s="77">
        <f>B8/National!B8</f>
        <v>3.090176182214726E-3</v>
      </c>
      <c r="E8" s="1"/>
      <c r="F8" s="146" t="s">
        <v>32</v>
      </c>
      <c r="G8" s="206">
        <f>22/100</f>
        <v>0.22</v>
      </c>
      <c r="H8" s="87"/>
      <c r="I8" s="87"/>
    </row>
    <row r="9" spans="1:9">
      <c r="A9" s="146" t="s">
        <v>169</v>
      </c>
      <c r="B9" s="150">
        <v>205692</v>
      </c>
      <c r="C9" s="175">
        <f>B9/B10</f>
        <v>0.32762424163267384</v>
      </c>
      <c r="D9" s="78">
        <f>B9/National!B9</f>
        <v>5.3342784130161252E-3</v>
      </c>
      <c r="E9" s="1"/>
      <c r="F9" s="146" t="s">
        <v>31</v>
      </c>
      <c r="G9" s="207">
        <f>22/100</f>
        <v>0.22</v>
      </c>
      <c r="H9" s="87"/>
      <c r="I9" s="87"/>
    </row>
    <row r="10" spans="1:9">
      <c r="A10" s="9" t="s">
        <v>9</v>
      </c>
      <c r="B10" s="152">
        <f>SUM(B8:B9)</f>
        <v>627829</v>
      </c>
      <c r="C10" s="176">
        <f>SUM(C8:C9)</f>
        <v>1</v>
      </c>
      <c r="D10" s="165"/>
      <c r="E10" s="1"/>
      <c r="F10" s="146" t="s">
        <v>33</v>
      </c>
      <c r="G10" s="205">
        <f>20/100</f>
        <v>0.2</v>
      </c>
      <c r="H10" s="87"/>
      <c r="I10" s="87"/>
    </row>
    <row r="11" spans="1:9">
      <c r="A11" s="146" t="s">
        <v>170</v>
      </c>
      <c r="B11" s="149">
        <v>21758</v>
      </c>
      <c r="C11" s="93">
        <f>B11/(B12+B11)</f>
        <v>5.2136948749652551E-2</v>
      </c>
      <c r="D11" s="77">
        <f>B11/National!B11</f>
        <v>5.7692164917181859E-3</v>
      </c>
      <c r="E11" s="1"/>
      <c r="G11" s="49"/>
      <c r="H11" s="87"/>
      <c r="I11" s="86"/>
    </row>
    <row r="12" spans="1:9" ht="23.25">
      <c r="A12" s="146" t="s">
        <v>171</v>
      </c>
      <c r="B12" s="150">
        <v>395566</v>
      </c>
      <c r="C12" s="95">
        <f>B12/(B11+B12)</f>
        <v>0.94786305125034742</v>
      </c>
      <c r="D12" s="79">
        <f>B12/National!B12</f>
        <v>2.9920679331019583E-3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347408</v>
      </c>
      <c r="H13" s="189">
        <f>G13/G$18</f>
        <v>0.35975478419352164</v>
      </c>
      <c r="I13" s="92">
        <f>+G13/National!G13</f>
        <v>2.5343478107134978E-3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557541</v>
      </c>
      <c r="H14" s="86">
        <f>G14/G$18</f>
        <v>0.57735585287051616</v>
      </c>
      <c r="I14" s="106">
        <f>+G14/National!G14</f>
        <v>5.0574471501394483E-3</v>
      </c>
    </row>
    <row r="15" spans="1:9">
      <c r="A15" s="146" t="s">
        <v>3</v>
      </c>
      <c r="B15" s="149">
        <v>79217</v>
      </c>
      <c r="C15" s="174">
        <f>B15/B$17</f>
        <v>0.96430875604085264</v>
      </c>
      <c r="D15" s="77">
        <f>B15/National!B15</f>
        <v>2.6607636365102036E-2</v>
      </c>
      <c r="E15" s="3"/>
      <c r="F15" s="146" t="s">
        <v>13</v>
      </c>
      <c r="G15" s="150">
        <v>2435</v>
      </c>
      <c r="H15" s="86">
        <f>G15/G$18</f>
        <v>2.5215392262447189E-3</v>
      </c>
      <c r="I15" s="106">
        <f>+G15/National!G15</f>
        <v>2.8874385159396092E-3</v>
      </c>
    </row>
    <row r="16" spans="1:9">
      <c r="A16" s="146" t="s">
        <v>2</v>
      </c>
      <c r="B16" s="150">
        <v>2932</v>
      </c>
      <c r="C16" s="175">
        <f>B16/B$17</f>
        <v>3.5691243959147405E-2</v>
      </c>
      <c r="D16" s="78">
        <f>B16/National!B16</f>
        <v>2.7516564371116992E-3</v>
      </c>
      <c r="E16" s="1"/>
      <c r="F16" s="9" t="s">
        <v>1</v>
      </c>
      <c r="G16" s="162">
        <v>907384</v>
      </c>
      <c r="H16" s="105"/>
      <c r="I16" s="106"/>
    </row>
    <row r="17" spans="1:9">
      <c r="A17" s="9" t="s">
        <v>1</v>
      </c>
      <c r="B17" s="154">
        <f>SUM(B15:B16)</f>
        <v>82149</v>
      </c>
      <c r="C17" s="176">
        <f>SUM(C15:C16)</f>
        <v>1</v>
      </c>
      <c r="D17" s="177">
        <f>B17/National!B17</f>
        <v>2.0319988681022506E-2</v>
      </c>
      <c r="E17" s="1"/>
      <c r="F17" s="108" t="s">
        <v>35</v>
      </c>
      <c r="G17" s="117">
        <v>58296</v>
      </c>
      <c r="H17" s="105">
        <f>G17/G$18</f>
        <v>6.0367823709717508E-2</v>
      </c>
      <c r="I17" s="106">
        <f>+G17/National!G17</f>
        <v>7.5645587911654421E-3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965680</v>
      </c>
      <c r="H18" s="185">
        <f>SUM(H13:H17)</f>
        <v>1.0000000000000002</v>
      </c>
      <c r="I18" s="186">
        <f>+G18/National!G18</f>
        <v>3.7740863076885065E-3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602+77</f>
        <v>679</v>
      </c>
      <c r="C20" s="174">
        <f>B20/B$26</f>
        <v>8.2656700792481767E-3</v>
      </c>
      <c r="D20" s="77">
        <f>B20/National!B20</f>
        <v>1.4523753502598874E-2</v>
      </c>
      <c r="E20" s="51"/>
      <c r="F20" s="163" t="s">
        <v>3</v>
      </c>
      <c r="G20" s="108">
        <f>86+20</f>
        <v>106</v>
      </c>
      <c r="H20" s="189">
        <f>G20/G$23</f>
        <v>0.89075630252100846</v>
      </c>
      <c r="I20" s="92">
        <f>+G20/National!G20</f>
        <v>5.0944393713654055E-3</v>
      </c>
    </row>
    <row r="21" spans="1:9">
      <c r="A21" s="146" t="s">
        <v>7</v>
      </c>
      <c r="B21" s="157">
        <f>2532+142</f>
        <v>2674</v>
      </c>
      <c r="C21" s="175">
        <f t="shared" ref="C21:C25" si="0">B21/B$26</f>
        <v>3.2551401755389731E-2</v>
      </c>
      <c r="D21" s="78">
        <f>B21/National!B21</f>
        <v>1.6764259651674544E-2</v>
      </c>
      <c r="E21" s="51"/>
      <c r="F21" s="163" t="s">
        <v>2</v>
      </c>
      <c r="G21" s="198">
        <f>12+1</f>
        <v>13</v>
      </c>
      <c r="H21" s="86">
        <f t="shared" ref="H21:H22" si="1">G21/G$23</f>
        <v>0.1092436974789916</v>
      </c>
      <c r="I21" s="106">
        <f>+G21/National!G21</f>
        <v>8.147405364753071E-4</v>
      </c>
    </row>
    <row r="22" spans="1:9">
      <c r="A22" s="146" t="s">
        <v>6</v>
      </c>
      <c r="B22" s="157">
        <f>3340+381</f>
        <v>3721</v>
      </c>
      <c r="C22" s="175">
        <f t="shared" si="0"/>
        <v>4.5296845898206872E-2</v>
      </c>
      <c r="D22" s="78">
        <f>B22/National!B22</f>
        <v>1.5427351313252763E-2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12415+6322+278</f>
        <v>19015</v>
      </c>
      <c r="C23" s="175">
        <f t="shared" si="0"/>
        <v>0.23147528211620633</v>
      </c>
      <c r="D23" s="78">
        <f>B23/National!B23</f>
        <v>2.3927659569113375E-2</v>
      </c>
      <c r="E23" s="51"/>
      <c r="F23" s="9" t="s">
        <v>1</v>
      </c>
      <c r="G23" s="197">
        <f>SUM(G20:G22)</f>
        <v>119</v>
      </c>
      <c r="H23" s="132">
        <f>SUM(H20:H22)</f>
        <v>1</v>
      </c>
      <c r="I23" s="133">
        <f>+G23/National!G23</f>
        <v>3.1936877700544804E-3</v>
      </c>
    </row>
    <row r="24" spans="1:9">
      <c r="A24" s="146" t="s">
        <v>8</v>
      </c>
      <c r="B24" s="157">
        <f>54004+2043</f>
        <v>56047</v>
      </c>
      <c r="C24" s="175">
        <f t="shared" si="0"/>
        <v>0.68227689386100532</v>
      </c>
      <c r="D24" s="78">
        <f>B24/National!B24</f>
        <v>2.0093543048731871E-2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11</v>
      </c>
      <c r="C25" s="175">
        <f t="shared" si="0"/>
        <v>1.3390628994363764E-4</v>
      </c>
      <c r="D25" s="78">
        <f>B25/National!B25</f>
        <v>9.7044552271724743E-4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82147</v>
      </c>
      <c r="C26" s="176">
        <f>SUM(C20:C25)</f>
        <v>1</v>
      </c>
      <c r="D26" s="177">
        <f>B26/National!B26</f>
        <v>2.0319443709251411E-2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477793</v>
      </c>
      <c r="H27" s="87"/>
      <c r="I27" s="113">
        <f>+G27/National!G27</f>
        <v>3.4602824153258369E-3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450868</v>
      </c>
      <c r="H28" s="87"/>
      <c r="I28" s="114">
        <f>+G28/National!G28</f>
        <v>3.3904779327989811E-3</v>
      </c>
    </row>
    <row r="29" spans="1:9">
      <c r="A29" s="146" t="s">
        <v>91</v>
      </c>
      <c r="B29" s="149">
        <f>7608+228</f>
        <v>7836</v>
      </c>
      <c r="C29" s="174">
        <f>B29/B$34</f>
        <v>9.5389971636213128E-2</v>
      </c>
      <c r="D29" s="77">
        <f>B29/National!B29</f>
        <v>1.0049593899450196E-2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35004+303</f>
        <v>35307</v>
      </c>
      <c r="C30" s="175">
        <f t="shared" ref="C30:C33" si="2">B30/B$34</f>
        <v>0.42980267082181944</v>
      </c>
      <c r="D30" s="78">
        <f>B30/National!B30</f>
        <v>1.9746136285084388E-2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33507+2266</f>
        <v>35773</v>
      </c>
      <c r="C31" s="175">
        <f t="shared" si="2"/>
        <v>0.43547542819579532</v>
      </c>
      <c r="D31" s="78">
        <f>B31/National!B31</f>
        <v>2.7807748515282484E-2</v>
      </c>
      <c r="E31" s="51"/>
      <c r="F31" s="163" t="s">
        <v>16</v>
      </c>
      <c r="G31" s="168">
        <v>212287</v>
      </c>
      <c r="H31" s="92">
        <f>G31/G$38</f>
        <v>0.29047463972371063</v>
      </c>
      <c r="I31" s="112">
        <f>+G31/National!G31</f>
        <v>5.0255166526181894E-3</v>
      </c>
    </row>
    <row r="32" spans="1:9">
      <c r="A32" s="146" t="s">
        <v>94</v>
      </c>
      <c r="B32" s="157">
        <f>928+131</f>
        <v>1059</v>
      </c>
      <c r="C32" s="175">
        <f t="shared" si="2"/>
        <v>1.2891523731846568E-2</v>
      </c>
      <c r="D32" s="78">
        <f>B32/National!B32</f>
        <v>1.8573407930967956E-2</v>
      </c>
      <c r="E32" s="51"/>
      <c r="F32" s="163" t="s">
        <v>17</v>
      </c>
      <c r="G32" s="169">
        <v>148459</v>
      </c>
      <c r="H32" s="106">
        <f t="shared" ref="H32:H37" si="3">G32/G$38</f>
        <v>0.2031380844740486</v>
      </c>
      <c r="I32" s="113">
        <f>+G32/National!G32</f>
        <v>2.3863313951881905E-3</v>
      </c>
    </row>
    <row r="33" spans="1:9">
      <c r="A33" s="146" t="s">
        <v>95</v>
      </c>
      <c r="B33" s="150">
        <f>2+2170</f>
        <v>2172</v>
      </c>
      <c r="C33" s="175">
        <f t="shared" si="2"/>
        <v>2.6440405614325539E-2</v>
      </c>
      <c r="D33" s="78">
        <f>B33/National!B33</f>
        <v>1.6513091871179636E-2</v>
      </c>
      <c r="E33" s="51"/>
      <c r="F33" s="163" t="s">
        <v>18</v>
      </c>
      <c r="G33" s="169">
        <v>251992</v>
      </c>
      <c r="H33" s="106">
        <f t="shared" si="3"/>
        <v>0.34480342844007073</v>
      </c>
      <c r="I33" s="113">
        <f>+G33/National!G33</f>
        <v>7.932426924053132E-3</v>
      </c>
    </row>
    <row r="34" spans="1:9">
      <c r="A34" s="9" t="s">
        <v>1</v>
      </c>
      <c r="B34" s="154">
        <f>SUM(B29:B33)</f>
        <v>82147</v>
      </c>
      <c r="C34" s="176">
        <f>SUM(C29:C33)</f>
        <v>1</v>
      </c>
      <c r="D34" s="180">
        <f>B34/National!B34</f>
        <v>2.0319493970467759E-2</v>
      </c>
      <c r="E34" s="51"/>
      <c r="F34" s="163" t="s">
        <v>19</v>
      </c>
      <c r="G34" s="169">
        <v>29893</v>
      </c>
      <c r="H34" s="106">
        <f t="shared" si="3"/>
        <v>4.0902921070347605E-2</v>
      </c>
      <c r="I34" s="113">
        <f>+G34/National!G34</f>
        <v>3.4808049785071092E-3</v>
      </c>
    </row>
    <row r="35" spans="1:9">
      <c r="B35" s="49"/>
      <c r="C35" s="96"/>
      <c r="D35" s="96"/>
      <c r="E35" s="51"/>
      <c r="F35" s="163" t="s">
        <v>20</v>
      </c>
      <c r="G35" s="169">
        <v>61005</v>
      </c>
      <c r="H35" s="106">
        <f t="shared" si="3"/>
        <v>8.3473813263859623E-2</v>
      </c>
      <c r="I35" s="113">
        <f>+G35/National!G35</f>
        <v>4.5758130197013107E-3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24837</v>
      </c>
      <c r="H36" s="106">
        <f t="shared" si="3"/>
        <v>3.3984740595598417E-2</v>
      </c>
      <c r="I36" s="113">
        <f>+G36/National!G36</f>
        <v>1.5699180516303742E-3</v>
      </c>
    </row>
    <row r="37" spans="1:9">
      <c r="A37" s="146" t="s">
        <v>5</v>
      </c>
      <c r="B37" s="149">
        <f>2414+354</f>
        <v>2768</v>
      </c>
      <c r="C37" s="174">
        <f>B37/B$43</f>
        <v>1.6593331494958456E-2</v>
      </c>
      <c r="D37" s="77">
        <f>B37/National!B37</f>
        <v>1.2959529561585857E-2</v>
      </c>
      <c r="E37" s="51"/>
      <c r="F37" s="163" t="s">
        <v>22</v>
      </c>
      <c r="G37" s="170">
        <v>2355</v>
      </c>
      <c r="H37" s="106">
        <f t="shared" si="3"/>
        <v>3.2223724323643867E-3</v>
      </c>
      <c r="I37" s="114">
        <f>+G37/National!G37</f>
        <v>9.1790796341480009E-5</v>
      </c>
    </row>
    <row r="38" spans="1:9">
      <c r="A38" s="146" t="s">
        <v>7</v>
      </c>
      <c r="B38" s="157">
        <f>5784+508</f>
        <v>6292</v>
      </c>
      <c r="C38" s="175">
        <f t="shared" ref="C38:C42" si="4">B38/B$43</f>
        <v>3.7718656707470599E-2</v>
      </c>
      <c r="D38" s="78">
        <f>B38/National!B38</f>
        <v>1.3176466646283492E-2</v>
      </c>
      <c r="E38" s="51"/>
      <c r="F38" s="47" t="s">
        <v>1</v>
      </c>
      <c r="G38" s="187">
        <f>SUM(G31:G37)</f>
        <v>730828</v>
      </c>
      <c r="H38" s="188">
        <f>SUM(H31:H37)</f>
        <v>1</v>
      </c>
      <c r="I38" s="188">
        <f>+G38/National!G39</f>
        <v>3.6309055269063565E-3</v>
      </c>
    </row>
    <row r="39" spans="1:9">
      <c r="A39" s="146" t="s">
        <v>6</v>
      </c>
      <c r="B39" s="157">
        <f>6718+862</f>
        <v>7580</v>
      </c>
      <c r="C39" s="175">
        <f t="shared" si="4"/>
        <v>4.5439831189228723E-2</v>
      </c>
      <c r="D39" s="78">
        <f>B39/National!B39</f>
        <v>1.3714864705935569E-2</v>
      </c>
      <c r="E39" s="51"/>
      <c r="H39" s="87"/>
      <c r="I39" s="87"/>
    </row>
    <row r="40" spans="1:9" ht="23.25">
      <c r="A40" s="146" t="s">
        <v>30</v>
      </c>
      <c r="B40" s="157">
        <f>24832+12644+565</f>
        <v>38041</v>
      </c>
      <c r="C40" s="175">
        <f t="shared" si="4"/>
        <v>0.22804440874267148</v>
      </c>
      <c r="D40" s="78">
        <f>B40/National!B40</f>
        <v>2.3645662527334139E-2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108008+4085</f>
        <v>112093</v>
      </c>
      <c r="C41" s="175">
        <f t="shared" si="4"/>
        <v>0.67196398383828693</v>
      </c>
      <c r="D41" s="78">
        <f>B41/National!B41</f>
        <v>2.0093378199994121E-2</v>
      </c>
      <c r="E41" s="51"/>
      <c r="F41" s="163" t="s">
        <v>38</v>
      </c>
      <c r="G41" s="168">
        <v>346999</v>
      </c>
      <c r="H41" s="189">
        <f>G41/G$47</f>
        <v>0.5036927900596595</v>
      </c>
      <c r="I41" s="113">
        <f>+G41/National!G42</f>
        <v>3.8262977549249006E-3</v>
      </c>
    </row>
    <row r="42" spans="1:9">
      <c r="A42" s="156" t="s">
        <v>29</v>
      </c>
      <c r="B42" s="150">
        <v>40</v>
      </c>
      <c r="C42" s="175">
        <f t="shared" si="4"/>
        <v>2.3978802738379272E-4</v>
      </c>
      <c r="D42" s="78">
        <f>B42/National!B42</f>
        <v>7.5786282682834406E-4</v>
      </c>
      <c r="E42" s="51"/>
      <c r="F42" s="163" t="s">
        <v>39</v>
      </c>
      <c r="G42" s="169">
        <v>205912</v>
      </c>
      <c r="H42" s="86">
        <f t="shared" ref="H42:H46" si="5">G42/G$47</f>
        <v>0.29889535643262544</v>
      </c>
      <c r="I42" s="113">
        <f>+G42/National!G43</f>
        <v>4.6235312078139997E-3</v>
      </c>
    </row>
    <row r="43" spans="1:9">
      <c r="A43" s="9" t="s">
        <v>1</v>
      </c>
      <c r="B43" s="154">
        <f>SUM(B37:B42)</f>
        <v>166814</v>
      </c>
      <c r="C43" s="178">
        <f>SUM(C37:C42)</f>
        <v>1</v>
      </c>
      <c r="D43" s="179">
        <f>B43/National!B43</f>
        <v>1.9662259491990127E-2</v>
      </c>
      <c r="E43" s="51"/>
      <c r="F43" s="163" t="s">
        <v>40</v>
      </c>
      <c r="G43" s="169">
        <v>49330</v>
      </c>
      <c r="H43" s="86">
        <f t="shared" si="5"/>
        <v>7.1605870142689182E-2</v>
      </c>
      <c r="I43" s="113">
        <f>+G43/National!G44</f>
        <v>3.7653686080616139E-3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83459</v>
      </c>
      <c r="H44" s="86">
        <f t="shared" si="5"/>
        <v>0.12114644873786126</v>
      </c>
      <c r="I44" s="113">
        <f>+G44/National!G45</f>
        <v>5.6688023985040593E-3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959</v>
      </c>
      <c r="H45" s="86">
        <f t="shared" si="5"/>
        <v>1.3920541144706855E-3</v>
      </c>
      <c r="I45" s="113">
        <f>+G45/National!G46</f>
        <v>1.1528028797232312E-4</v>
      </c>
    </row>
    <row r="46" spans="1:9">
      <c r="A46" s="8" t="s">
        <v>3</v>
      </c>
      <c r="B46" s="52">
        <v>6386</v>
      </c>
      <c r="C46" s="93">
        <f>B46/B$48</f>
        <v>0.71066102826619182</v>
      </c>
      <c r="D46" s="77">
        <f>B46/National!B48</f>
        <v>6.4477826533847326E-3</v>
      </c>
      <c r="E46" s="51"/>
      <c r="F46" s="163" t="s">
        <v>43</v>
      </c>
      <c r="G46" s="170">
        <v>2251</v>
      </c>
      <c r="H46" s="86">
        <f t="shared" si="5"/>
        <v>3.267480512693966E-3</v>
      </c>
      <c r="I46" s="113">
        <f>+G46/National!G47</f>
        <v>2.8257513190710093E-4</v>
      </c>
    </row>
    <row r="47" spans="1:9">
      <c r="A47" s="8" t="s">
        <v>2</v>
      </c>
      <c r="B47" s="52">
        <v>2600</v>
      </c>
      <c r="C47" s="97">
        <f>B47/B$48</f>
        <v>0.28933897173380813</v>
      </c>
      <c r="D47" s="78">
        <f>B47/National!B49</f>
        <v>1.3110845644501436E-3</v>
      </c>
      <c r="E47" s="51"/>
      <c r="F47" s="9" t="s">
        <v>1</v>
      </c>
      <c r="G47" s="191">
        <f>SUM(G41:G46)</f>
        <v>688910</v>
      </c>
      <c r="H47" s="182">
        <f>SUM(H41:H46)</f>
        <v>1</v>
      </c>
      <c r="I47" s="188">
        <f>+G47/National!G49</f>
        <v>3.7973338594365922E-3</v>
      </c>
    </row>
    <row r="48" spans="1:9">
      <c r="A48" s="9" t="s">
        <v>1</v>
      </c>
      <c r="B48" s="155">
        <f>SUM(B46:B47)</f>
        <v>8986</v>
      </c>
      <c r="C48" s="165">
        <f>SUM(C46:C47)</f>
        <v>1</v>
      </c>
      <c r="D48" s="177">
        <f>B48/National!B50</f>
        <v>3.022018766380058E-3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116437</v>
      </c>
      <c r="H50" s="189">
        <f>G50/G$52</f>
        <v>0.86991311104304103</v>
      </c>
      <c r="I50" s="113">
        <f>+G50/National!G52</f>
        <v>3.7150822249538331E-3</v>
      </c>
    </row>
    <row r="51" spans="1:9">
      <c r="A51" s="146" t="s">
        <v>5</v>
      </c>
      <c r="B51" s="149">
        <f>1960+610</f>
        <v>2570</v>
      </c>
      <c r="C51" s="174">
        <f>B51/B$57</f>
        <v>0.28600044513687961</v>
      </c>
      <c r="D51" s="77">
        <f>B51/National!B53</f>
        <v>3.5725158156804252E-3</v>
      </c>
      <c r="E51" s="51"/>
      <c r="F51" s="163" t="s">
        <v>97</v>
      </c>
      <c r="G51" s="194">
        <v>17412</v>
      </c>
      <c r="H51" s="86">
        <f>G51/G$52</f>
        <v>0.13008688895695897</v>
      </c>
      <c r="I51" s="113">
        <f>+G51/National!G53</f>
        <v>3.4528224324788994E-3</v>
      </c>
    </row>
    <row r="52" spans="1:9">
      <c r="A52" s="146" t="s">
        <v>7</v>
      </c>
      <c r="B52" s="157">
        <f>1650+602</f>
        <v>2252</v>
      </c>
      <c r="C52" s="175">
        <f t="shared" ref="C52:C56" si="6">B52/B$57</f>
        <v>0.25061206320943691</v>
      </c>
      <c r="D52" s="78">
        <f>B52/National!B54</f>
        <v>3.2882296854717776E-3</v>
      </c>
      <c r="E52" s="51"/>
      <c r="F52" s="60" t="s">
        <v>1</v>
      </c>
      <c r="G52" s="190">
        <f>SUM(G50:G51)</f>
        <v>133849</v>
      </c>
      <c r="H52" s="185">
        <f>SUM(H50:H51)</f>
        <v>1</v>
      </c>
      <c r="I52" s="192">
        <f>+G52/National!G54</f>
        <v>3.6787334882104985E-3</v>
      </c>
    </row>
    <row r="53" spans="1:9">
      <c r="A53" s="146" t="s">
        <v>6</v>
      </c>
      <c r="B53" s="157">
        <f>1017+840</f>
        <v>1857</v>
      </c>
      <c r="C53" s="175">
        <f t="shared" si="6"/>
        <v>0.2066547963498776</v>
      </c>
      <c r="D53" s="78">
        <f>B53/National!B55</f>
        <v>3.5103438889392976E-3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1117+119+234</f>
        <v>1470</v>
      </c>
      <c r="C54" s="175">
        <f t="shared" si="6"/>
        <v>0.16358780324949923</v>
      </c>
      <c r="D54" s="78">
        <f>B54/National!B56</f>
        <v>3.5290135326865877E-3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523+276</f>
        <v>799</v>
      </c>
      <c r="C55" s="175">
        <f t="shared" si="6"/>
        <v>8.8916091698197197E-2</v>
      </c>
      <c r="D55" s="78">
        <f>B55/National!B57</f>
        <v>1.9921113388284692E-3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38</v>
      </c>
      <c r="C56" s="175">
        <f t="shared" si="6"/>
        <v>4.2288003561095034E-3</v>
      </c>
      <c r="D56" s="78">
        <f>B56/National!B58</f>
        <v>1.7069138996693979E-4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8986</v>
      </c>
      <c r="C57" s="178">
        <f>SUM(C51:C56)</f>
        <v>1</v>
      </c>
      <c r="D57" s="177">
        <f>B57/National!B59</f>
        <v>3.022018766380058E-3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82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6214888</v>
      </c>
      <c r="C4" s="99"/>
      <c r="D4" s="77">
        <f>B4/National!B4</f>
        <v>2.0439694933091501E-2</v>
      </c>
      <c r="E4" s="1"/>
      <c r="F4" s="146" t="s">
        <v>10</v>
      </c>
      <c r="G4" s="195">
        <v>2154643</v>
      </c>
      <c r="H4" s="189">
        <f>G4/G$6</f>
        <v>0.48411937688118845</v>
      </c>
      <c r="I4" s="112">
        <f>+G4/National!G4</f>
        <v>2.0794066970614668E-2</v>
      </c>
    </row>
    <row r="5" spans="1:9">
      <c r="A5" s="8" t="s">
        <v>167</v>
      </c>
      <c r="B5" s="50">
        <f>37728+3489</f>
        <v>41217</v>
      </c>
      <c r="C5" s="100"/>
      <c r="D5" s="79">
        <f>B5/National!B5</f>
        <v>1.1651643094542072E-2</v>
      </c>
      <c r="E5" s="1"/>
      <c r="F5" s="146" t="s">
        <v>11</v>
      </c>
      <c r="G5" s="196">
        <v>2296001</v>
      </c>
      <c r="H5" s="86">
        <f>G5/G$6</f>
        <v>0.51588062311881155</v>
      </c>
      <c r="I5" s="113">
        <f>+G5/National!G5</f>
        <v>2.1928820588410551E-2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4450644</v>
      </c>
      <c r="H6" s="182">
        <f>SUM(H4:H5)</f>
        <v>1</v>
      </c>
      <c r="I6" s="183">
        <f>+G6/National!G6</f>
        <v>2.1364396889388775E-2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3074634</v>
      </c>
      <c r="C8" s="174">
        <f>B8/B10</f>
        <v>0.75403678420822229</v>
      </c>
      <c r="D8" s="77">
        <f>B8/National!B8</f>
        <v>2.2507292077755779E-2</v>
      </c>
      <c r="E8" s="1"/>
      <c r="F8" s="146" t="s">
        <v>32</v>
      </c>
      <c r="G8" s="206">
        <f>20/100</f>
        <v>0.2</v>
      </c>
      <c r="H8" s="87"/>
      <c r="I8" s="87"/>
    </row>
    <row r="9" spans="1:9">
      <c r="A9" s="146" t="s">
        <v>169</v>
      </c>
      <c r="B9" s="150">
        <v>1002931</v>
      </c>
      <c r="C9" s="175">
        <f>B9/B10</f>
        <v>0.24596321579177768</v>
      </c>
      <c r="D9" s="78">
        <f>B9/National!B9</f>
        <v>2.6009340096088691E-2</v>
      </c>
      <c r="E9" s="1"/>
      <c r="F9" s="146" t="s">
        <v>31</v>
      </c>
      <c r="G9" s="207">
        <f>17/100</f>
        <v>0.17</v>
      </c>
      <c r="H9" s="87"/>
      <c r="I9" s="87"/>
    </row>
    <row r="10" spans="1:9">
      <c r="A10" s="9" t="s">
        <v>9</v>
      </c>
      <c r="B10" s="152">
        <f>SUM(B8:B9)</f>
        <v>4077565</v>
      </c>
      <c r="C10" s="176">
        <f>SUM(C8:C9)</f>
        <v>1</v>
      </c>
      <c r="D10" s="165"/>
      <c r="E10" s="1"/>
      <c r="F10" s="146" t="s">
        <v>33</v>
      </c>
      <c r="G10" s="205">
        <f>20/100</f>
        <v>0.2</v>
      </c>
      <c r="H10" s="87"/>
      <c r="I10" s="87"/>
    </row>
    <row r="11" spans="1:9">
      <c r="A11" s="146" t="s">
        <v>170</v>
      </c>
      <c r="B11" s="149">
        <v>92695</v>
      </c>
      <c r="C11" s="93">
        <f>B11/(B12+B11)</f>
        <v>3.0452828750597918E-2</v>
      </c>
      <c r="D11" s="77">
        <f>B11/National!B11</f>
        <v>2.457843196524576E-2</v>
      </c>
      <c r="E11" s="1"/>
      <c r="G11" s="49"/>
      <c r="H11" s="87"/>
      <c r="I11" s="86"/>
    </row>
    <row r="12" spans="1:9" ht="23.25">
      <c r="A12" s="146" t="s">
        <v>171</v>
      </c>
      <c r="B12" s="150">
        <v>2951193</v>
      </c>
      <c r="C12" s="95">
        <f>B12/(B11+B12)</f>
        <v>0.96954717124940204</v>
      </c>
      <c r="D12" s="79">
        <f>B12/National!B12</f>
        <v>2.2322873906490869E-2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2833546</v>
      </c>
      <c r="H13" s="189">
        <f>G13/G$18</f>
        <v>0.53977291235476044</v>
      </c>
      <c r="I13" s="92">
        <f>+G13/National!G13</f>
        <v>2.0670770683622684E-2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2244717</v>
      </c>
      <c r="H14" s="86">
        <f>G14/G$18</f>
        <v>0.42760464538152571</v>
      </c>
      <c r="I14" s="106">
        <f>+G14/National!G14</f>
        <v>2.0361798674033964E-2</v>
      </c>
    </row>
    <row r="15" spans="1:9">
      <c r="A15" s="146" t="s">
        <v>3</v>
      </c>
      <c r="B15" s="149">
        <v>69719</v>
      </c>
      <c r="C15" s="174">
        <f>B15/B$17</f>
        <v>0.75639286992937194</v>
      </c>
      <c r="D15" s="77">
        <f>B15/National!B15</f>
        <v>2.3417420499874379E-2</v>
      </c>
      <c r="E15" s="3"/>
      <c r="F15" s="146" t="s">
        <v>13</v>
      </c>
      <c r="G15" s="150">
        <v>19884</v>
      </c>
      <c r="H15" s="86">
        <f>G15/G$18</f>
        <v>3.7877784900128869E-3</v>
      </c>
      <c r="I15" s="106">
        <f>+G15/National!G15</f>
        <v>2.3578573901824718E-2</v>
      </c>
    </row>
    <row r="16" spans="1:9">
      <c r="A16" s="146" t="s">
        <v>2</v>
      </c>
      <c r="B16" s="150">
        <v>22454</v>
      </c>
      <c r="C16" s="175">
        <f>B16/B$17</f>
        <v>0.24360713007062806</v>
      </c>
      <c r="D16" s="78">
        <f>B16/National!B16</f>
        <v>2.1072883232914768E-2</v>
      </c>
      <c r="E16" s="1"/>
      <c r="F16" s="9" t="s">
        <v>1</v>
      </c>
      <c r="G16" s="162">
        <v>5098147</v>
      </c>
      <c r="H16" s="105"/>
      <c r="I16" s="106"/>
    </row>
    <row r="17" spans="1:9">
      <c r="A17" s="9" t="s">
        <v>1</v>
      </c>
      <c r="B17" s="154">
        <f>SUM(B15:B16)</f>
        <v>92173</v>
      </c>
      <c r="C17" s="176">
        <f>SUM(C15:C16)</f>
        <v>1</v>
      </c>
      <c r="D17" s="177">
        <f>B17/National!B17</f>
        <v>2.2799477981422629E-2</v>
      </c>
      <c r="E17" s="1"/>
      <c r="F17" s="108" t="s">
        <v>35</v>
      </c>
      <c r="G17" s="117">
        <v>151368</v>
      </c>
      <c r="H17" s="105">
        <f>G17/G$18</f>
        <v>2.8834663773700999E-2</v>
      </c>
      <c r="I17" s="106">
        <f>+G17/National!G17</f>
        <v>1.9641692999539089E-2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5249515</v>
      </c>
      <c r="H18" s="185">
        <f>SUM(H13:H17)</f>
        <v>1</v>
      </c>
      <c r="I18" s="186">
        <f>+G18/National!G18</f>
        <v>2.0516240041737875E-2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688+417</f>
        <v>1105</v>
      </c>
      <c r="C20" s="174">
        <f>B20/B$26</f>
        <v>1.1988066178464877E-2</v>
      </c>
      <c r="D20" s="77">
        <f>B20/National!B20</f>
        <v>2.3635858056512159E-2</v>
      </c>
      <c r="E20" s="51"/>
      <c r="F20" s="163" t="s">
        <v>3</v>
      </c>
      <c r="G20" s="108">
        <f>405+202</f>
        <v>607</v>
      </c>
      <c r="H20" s="189">
        <f>G20/G$23</f>
        <v>0.58647342995169083</v>
      </c>
      <c r="I20" s="92">
        <f>+G20/National!G20</f>
        <v>2.9172874513384919E-2</v>
      </c>
    </row>
    <row r="21" spans="1:9">
      <c r="A21" s="146" t="s">
        <v>7</v>
      </c>
      <c r="B21" s="157">
        <f>1865+1550</f>
        <v>3415</v>
      </c>
      <c r="C21" s="175">
        <f t="shared" ref="C21:C25" si="0">B21/B$26</f>
        <v>3.7049091402224031E-2</v>
      </c>
      <c r="D21" s="78">
        <f>B21/National!B21</f>
        <v>2.1409852920893258E-2</v>
      </c>
      <c r="E21" s="51"/>
      <c r="F21" s="163" t="s">
        <v>2</v>
      </c>
      <c r="G21" s="198">
        <f>370+58</f>
        <v>428</v>
      </c>
      <c r="H21" s="86">
        <f t="shared" ref="H21:H22" si="1">G21/G$23</f>
        <v>0.41352657004830917</v>
      </c>
      <c r="I21" s="106">
        <f>+G21/National!G21</f>
        <v>2.6823765354725495E-2</v>
      </c>
    </row>
    <row r="22" spans="1:9">
      <c r="A22" s="146" t="s">
        <v>6</v>
      </c>
      <c r="B22" s="157">
        <f>3200+2447</f>
        <v>5647</v>
      </c>
      <c r="C22" s="175">
        <f t="shared" si="0"/>
        <v>6.1263900189856252E-2</v>
      </c>
      <c r="D22" s="78">
        <f>B22/National!B22</f>
        <v>2.3412591471630839E-2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5108+10538+2227</f>
        <v>17873</v>
      </c>
      <c r="C23" s="175">
        <f t="shared" si="0"/>
        <v>0.19390290208841876</v>
      </c>
      <c r="D23" s="78">
        <f>B23/National!B23</f>
        <v>2.2490615802196336E-2</v>
      </c>
      <c r="E23" s="51"/>
      <c r="F23" s="9" t="s">
        <v>1</v>
      </c>
      <c r="G23" s="197">
        <f>SUM(G20:G22)</f>
        <v>1035</v>
      </c>
      <c r="H23" s="132">
        <f>SUM(H20:H22)</f>
        <v>1</v>
      </c>
      <c r="I23" s="133">
        <f>+G23/National!G23</f>
        <v>2.7777032285767961E-2</v>
      </c>
    </row>
    <row r="24" spans="1:9">
      <c r="A24" s="146" t="s">
        <v>8</v>
      </c>
      <c r="B24" s="157">
        <f>48321+15661</f>
        <v>63982</v>
      </c>
      <c r="C24" s="175">
        <f t="shared" si="0"/>
        <v>0.69413615405478712</v>
      </c>
      <c r="D24" s="78">
        <f>B24/National!B24</f>
        <v>2.2938338739699939E-2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153</v>
      </c>
      <c r="C25" s="175">
        <f t="shared" si="0"/>
        <v>1.659886086248983E-3</v>
      </c>
      <c r="D25" s="78">
        <f>B25/National!B25</f>
        <v>1.3498014997794442E-2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92175</v>
      </c>
      <c r="C26" s="176">
        <f>SUM(C20:C25)</f>
        <v>1</v>
      </c>
      <c r="D26" s="177">
        <f>B26/National!B26</f>
        <v>2.2799916295181185E-2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1866303</v>
      </c>
      <c r="H27" s="87"/>
      <c r="I27" s="113">
        <f>+G27/National!G27</f>
        <v>1.3516178455041944E-2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1770528</v>
      </c>
      <c r="H28" s="87"/>
      <c r="I28" s="114">
        <f>+G28/National!G28</f>
        <v>1.3314176462740124E-2</v>
      </c>
    </row>
    <row r="29" spans="1:9">
      <c r="A29" s="146" t="s">
        <v>91</v>
      </c>
      <c r="B29" s="149">
        <f>10860+3021</f>
        <v>13881</v>
      </c>
      <c r="C29" s="174">
        <f>B29/B$34</f>
        <v>0.15059397884458911</v>
      </c>
      <c r="D29" s="77">
        <f>B29/National!B29</f>
        <v>1.7802247692479348E-2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52781+4408</f>
        <v>57189</v>
      </c>
      <c r="C30" s="175">
        <f t="shared" ref="C30:C33" si="2">B30/B$34</f>
        <v>0.62043938161106593</v>
      </c>
      <c r="D30" s="78">
        <f>B30/National!B30</f>
        <v>3.1984076472305521E-2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4494+14999</f>
        <v>19493</v>
      </c>
      <c r="C31" s="175">
        <f t="shared" si="2"/>
        <v>0.21147816653105506</v>
      </c>
      <c r="D31" s="78">
        <f>B31/National!B31</f>
        <v>1.5152669382170952E-2</v>
      </c>
      <c r="E31" s="51"/>
      <c r="F31" s="163" t="s">
        <v>16</v>
      </c>
      <c r="G31" s="168">
        <v>577606</v>
      </c>
      <c r="H31" s="92">
        <f>G31/G$38</f>
        <v>0.25900046409746497</v>
      </c>
      <c r="I31" s="112">
        <f>+G31/National!G31</f>
        <v>1.3673793363004715E-2</v>
      </c>
    </row>
    <row r="32" spans="1:9">
      <c r="A32" s="146" t="s">
        <v>94</v>
      </c>
      <c r="B32" s="157">
        <f>329+10</f>
        <v>339</v>
      </c>
      <c r="C32" s="175">
        <f t="shared" si="2"/>
        <v>3.677786818551668E-3</v>
      </c>
      <c r="D32" s="78">
        <f>B32/National!B32</f>
        <v>5.9455951733693464E-3</v>
      </c>
      <c r="E32" s="51"/>
      <c r="F32" s="163" t="s">
        <v>17</v>
      </c>
      <c r="G32" s="169">
        <v>1047748</v>
      </c>
      <c r="H32" s="106">
        <f t="shared" ref="H32:H37" si="3">G32/G$38</f>
        <v>0.46981371082916507</v>
      </c>
      <c r="I32" s="113">
        <f>+G32/National!G32</f>
        <v>1.684151143848225E-2</v>
      </c>
    </row>
    <row r="33" spans="1:9">
      <c r="A33" s="146" t="s">
        <v>95</v>
      </c>
      <c r="B33" s="150">
        <f>1256+17</f>
        <v>1273</v>
      </c>
      <c r="C33" s="175">
        <f t="shared" si="2"/>
        <v>1.381068619473827E-2</v>
      </c>
      <c r="D33" s="78">
        <f>B33/National!B33</f>
        <v>9.6782532007420249E-3</v>
      </c>
      <c r="E33" s="51"/>
      <c r="F33" s="163" t="s">
        <v>18</v>
      </c>
      <c r="G33" s="169">
        <v>496875</v>
      </c>
      <c r="H33" s="106">
        <f t="shared" si="3"/>
        <v>0.22280041342788665</v>
      </c>
      <c r="I33" s="113">
        <f>+G33/National!G33</f>
        <v>1.5641070462113479E-2</v>
      </c>
    </row>
    <row r="34" spans="1:9">
      <c r="A34" s="9" t="s">
        <v>1</v>
      </c>
      <c r="B34" s="154">
        <f>SUM(B29:B33)</f>
        <v>92175</v>
      </c>
      <c r="C34" s="176">
        <f>SUM(C29:C33)</f>
        <v>1.0000000000000002</v>
      </c>
      <c r="D34" s="180">
        <f>B34/National!B34</f>
        <v>2.2799972691977376E-2</v>
      </c>
      <c r="E34" s="51"/>
      <c r="F34" s="163" t="s">
        <v>19</v>
      </c>
      <c r="G34" s="169">
        <v>8018</v>
      </c>
      <c r="H34" s="106">
        <f t="shared" si="3"/>
        <v>3.5952980424951851E-3</v>
      </c>
      <c r="I34" s="113">
        <f>+G34/National!G34</f>
        <v>9.3363310198608376E-4</v>
      </c>
    </row>
    <row r="35" spans="1:9">
      <c r="B35" s="49"/>
      <c r="C35" s="96"/>
      <c r="D35" s="96"/>
      <c r="E35" s="51"/>
      <c r="F35" s="163" t="s">
        <v>20</v>
      </c>
      <c r="G35" s="169">
        <v>53481</v>
      </c>
      <c r="H35" s="106">
        <f t="shared" si="3"/>
        <v>2.3981059442589797E-2</v>
      </c>
      <c r="I35" s="113">
        <f>+G35/National!G35</f>
        <v>4.0114589969124795E-3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34184</v>
      </c>
      <c r="H36" s="106">
        <f t="shared" si="3"/>
        <v>1.5328220040490823E-2</v>
      </c>
      <c r="I36" s="113">
        <f>+G36/National!G36</f>
        <v>2.1607311139401984E-3</v>
      </c>
    </row>
    <row r="37" spans="1:9">
      <c r="A37" s="146" t="s">
        <v>5</v>
      </c>
      <c r="B37" s="149">
        <f>2807+2296</f>
        <v>5103</v>
      </c>
      <c r="C37" s="174">
        <f>B37/B$43</f>
        <v>2.6202151421016149E-2</v>
      </c>
      <c r="D37" s="77">
        <f>B37/National!B37</f>
        <v>2.3891791673689534E-2</v>
      </c>
      <c r="E37" s="51"/>
      <c r="F37" s="163" t="s">
        <v>22</v>
      </c>
      <c r="G37" s="170">
        <v>12223</v>
      </c>
      <c r="H37" s="106">
        <f t="shared" si="3"/>
        <v>5.4808341199075392E-3</v>
      </c>
      <c r="I37" s="114">
        <f>+G37/National!G37</f>
        <v>4.7641567035325267E-4</v>
      </c>
    </row>
    <row r="38" spans="1:9">
      <c r="A38" s="146" t="s">
        <v>7</v>
      </c>
      <c r="B38" s="157">
        <f>5667+5780</f>
        <v>11447</v>
      </c>
      <c r="C38" s="175">
        <f t="shared" ref="C38:C42" si="4">B38/B$43</f>
        <v>5.8776411388667814E-2</v>
      </c>
      <c r="D38" s="78">
        <f>B38/National!B38</f>
        <v>2.3971871217420077E-2</v>
      </c>
      <c r="E38" s="51"/>
      <c r="F38" s="47" t="s">
        <v>1</v>
      </c>
      <c r="G38" s="187">
        <f>SUM(G31:G37)</f>
        <v>2230135</v>
      </c>
      <c r="H38" s="188">
        <f>SUM(H31:H37)</f>
        <v>0.99999999999999989</v>
      </c>
      <c r="I38" s="188">
        <f>+G38/National!G39</f>
        <v>1.1079774580677406E-2</v>
      </c>
    </row>
    <row r="39" spans="1:9">
      <c r="A39" s="146" t="s">
        <v>6</v>
      </c>
      <c r="B39" s="157">
        <f>6888+6585</f>
        <v>13473</v>
      </c>
      <c r="C39" s="175">
        <f t="shared" si="4"/>
        <v>6.9179225180354811E-2</v>
      </c>
      <c r="D39" s="78">
        <f>B39/National!B39</f>
        <v>2.4377357807792866E-2</v>
      </c>
      <c r="E39" s="51"/>
      <c r="H39" s="87"/>
      <c r="I39" s="87"/>
    </row>
    <row r="40" spans="1:9" ht="23.25">
      <c r="A40" s="146" t="s">
        <v>30</v>
      </c>
      <c r="B40" s="157">
        <f>10311+21076+4699</f>
        <v>36086</v>
      </c>
      <c r="C40" s="175">
        <f t="shared" si="4"/>
        <v>0.18528920951965289</v>
      </c>
      <c r="D40" s="78">
        <f>B40/National!B40</f>
        <v>2.2430466548234267E-2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96642+31321</f>
        <v>127963</v>
      </c>
      <c r="C41" s="175">
        <f t="shared" si="4"/>
        <v>0.65704603219429536</v>
      </c>
      <c r="D41" s="78">
        <f>B41/National!B41</f>
        <v>2.2938175930752567E-2</v>
      </c>
      <c r="E41" s="51"/>
      <c r="F41" s="163" t="s">
        <v>38</v>
      </c>
      <c r="G41" s="168">
        <v>1079026</v>
      </c>
      <c r="H41" s="189">
        <f>G41/G$47</f>
        <v>0.57066503351452436</v>
      </c>
      <c r="I41" s="113">
        <f>+G41/National!G42</f>
        <v>1.1898232448236437E-2</v>
      </c>
    </row>
    <row r="42" spans="1:9">
      <c r="A42" s="156" t="s">
        <v>29</v>
      </c>
      <c r="B42" s="150">
        <v>683</v>
      </c>
      <c r="C42" s="175">
        <f t="shared" si="4"/>
        <v>3.5069702960129393E-3</v>
      </c>
      <c r="D42" s="78">
        <f>B42/National!B42</f>
        <v>1.2940507768093974E-2</v>
      </c>
      <c r="E42" s="51"/>
      <c r="F42" s="163" t="s">
        <v>39</v>
      </c>
      <c r="G42" s="169">
        <v>550108</v>
      </c>
      <c r="H42" s="86">
        <f t="shared" ref="H42:H46" si="5">G42/G$47</f>
        <v>0.29093589983615592</v>
      </c>
      <c r="I42" s="113">
        <f>+G42/National!G43</f>
        <v>1.2352080042290608E-2</v>
      </c>
    </row>
    <row r="43" spans="1:9">
      <c r="A43" s="9" t="s">
        <v>1</v>
      </c>
      <c r="B43" s="154">
        <f>SUM(B37:B42)</f>
        <v>194755</v>
      </c>
      <c r="C43" s="178">
        <f>SUM(C37:C42)</f>
        <v>1</v>
      </c>
      <c r="D43" s="179">
        <f>B43/National!B43</f>
        <v>2.2955647291969125E-2</v>
      </c>
      <c r="E43" s="51"/>
      <c r="F43" s="163" t="s">
        <v>40</v>
      </c>
      <c r="G43" s="169">
        <v>195894</v>
      </c>
      <c r="H43" s="86">
        <f t="shared" si="5"/>
        <v>0.10360256015637644</v>
      </c>
      <c r="I43" s="113">
        <f>+G43/National!G44</f>
        <v>1.4952627571612037E-2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53778</v>
      </c>
      <c r="H44" s="86">
        <f t="shared" si="5"/>
        <v>2.8441598415927041E-2</v>
      </c>
      <c r="I44" s="113">
        <f>+G44/National!G45</f>
        <v>3.6527738816275212E-3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1519</v>
      </c>
      <c r="H45" s="86">
        <f t="shared" si="5"/>
        <v>8.0335430833785519E-4</v>
      </c>
      <c r="I45" s="113">
        <f>+G45/National!G46</f>
        <v>1.8259724445251178E-4</v>
      </c>
    </row>
    <row r="46" spans="1:9">
      <c r="A46" s="8" t="s">
        <v>3</v>
      </c>
      <c r="B46" s="52">
        <v>27985</v>
      </c>
      <c r="C46" s="93">
        <f>B46/B$48</f>
        <v>0.40284155522607207</v>
      </c>
      <c r="D46" s="77">
        <f>B46/National!B48</f>
        <v>2.8255746563572149E-2</v>
      </c>
      <c r="E46" s="51"/>
      <c r="F46" s="163" t="s">
        <v>43</v>
      </c>
      <c r="G46" s="170">
        <v>10497</v>
      </c>
      <c r="H46" s="86">
        <f t="shared" si="5"/>
        <v>5.5515537686783847E-3</v>
      </c>
      <c r="I46" s="113">
        <f>+G46/National!G47</f>
        <v>1.3177215280447973E-3</v>
      </c>
    </row>
    <row r="47" spans="1:9">
      <c r="A47" s="8" t="s">
        <v>2</v>
      </c>
      <c r="B47" s="52">
        <v>41484</v>
      </c>
      <c r="C47" s="97">
        <f>B47/B$48</f>
        <v>0.59715844477392799</v>
      </c>
      <c r="D47" s="78">
        <f>B47/National!B49</f>
        <v>2.0918858489096064E-2</v>
      </c>
      <c r="E47" s="51"/>
      <c r="F47" s="9" t="s">
        <v>1</v>
      </c>
      <c r="G47" s="191">
        <f>SUM(G41:G46)</f>
        <v>1890822</v>
      </c>
      <c r="H47" s="182">
        <f>SUM(H41:H46)</f>
        <v>1</v>
      </c>
      <c r="I47" s="188">
        <f>+G47/National!G49</f>
        <v>1.0422380866539339E-2</v>
      </c>
    </row>
    <row r="48" spans="1:9">
      <c r="A48" s="9" t="s">
        <v>1</v>
      </c>
      <c r="B48" s="155">
        <f>SUM(B46:B47)</f>
        <v>69469</v>
      </c>
      <c r="C48" s="165">
        <f>SUM(C46:C47)</f>
        <v>1</v>
      </c>
      <c r="D48" s="177">
        <f>B48/National!B50</f>
        <v>2.336263317178458E-2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740664</v>
      </c>
      <c r="H50" s="189">
        <f>G50/G$52</f>
        <v>0.86358797610705418</v>
      </c>
      <c r="I50" s="113">
        <f>+G50/National!G52</f>
        <v>2.3631901037154908E-2</v>
      </c>
    </row>
    <row r="51" spans="1:9">
      <c r="A51" s="146" t="s">
        <v>5</v>
      </c>
      <c r="B51" s="149">
        <f>8686+11414</f>
        <v>20100</v>
      </c>
      <c r="C51" s="174">
        <f>B51/B$57</f>
        <v>0.28933769019274785</v>
      </c>
      <c r="D51" s="77">
        <f>B51/National!B53</f>
        <v>2.7940687896955856E-2</v>
      </c>
      <c r="E51" s="51"/>
      <c r="F51" s="163" t="s">
        <v>97</v>
      </c>
      <c r="G51" s="194">
        <v>116995</v>
      </c>
      <c r="H51" s="86">
        <f>G51/G$52</f>
        <v>0.13641202389294579</v>
      </c>
      <c r="I51" s="113">
        <f>+G51/National!G53</f>
        <v>2.3200261916371975E-2</v>
      </c>
    </row>
    <row r="52" spans="1:9">
      <c r="A52" s="146" t="s">
        <v>7</v>
      </c>
      <c r="B52" s="157">
        <f>5360+10953</f>
        <v>16313</v>
      </c>
      <c r="C52" s="175">
        <f t="shared" ref="C52:C56" si="6">B52/B$57</f>
        <v>0.23482416617484059</v>
      </c>
      <c r="D52" s="78">
        <f>B52/National!B54</f>
        <v>2.3819223294449871E-2</v>
      </c>
      <c r="E52" s="51"/>
      <c r="F52" s="60" t="s">
        <v>1</v>
      </c>
      <c r="G52" s="190">
        <f>SUM(G50:G51)</f>
        <v>857659</v>
      </c>
      <c r="H52" s="185">
        <f>SUM(H50:H51)</f>
        <v>1</v>
      </c>
      <c r="I52" s="192">
        <f>+G52/National!G54</f>
        <v>2.3572076629374356E-2</v>
      </c>
    </row>
    <row r="53" spans="1:9">
      <c r="A53" s="146" t="s">
        <v>6</v>
      </c>
      <c r="B53" s="157">
        <f>5089+8194</f>
        <v>13283</v>
      </c>
      <c r="C53" s="175">
        <f t="shared" si="6"/>
        <v>0.19120758899653081</v>
      </c>
      <c r="D53" s="78">
        <f>B53/National!B55</f>
        <v>2.5109261107582492E-2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2928+2762+2977</f>
        <v>8667</v>
      </c>
      <c r="C54" s="175">
        <f t="shared" si="6"/>
        <v>0.12476068462191769</v>
      </c>
      <c r="D54" s="78">
        <f>B54/National!B56</f>
        <v>2.0806775705982758E-2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3160+5946</f>
        <v>9106</v>
      </c>
      <c r="C55" s="175">
        <f t="shared" si="6"/>
        <v>0.13108005009428667</v>
      </c>
      <c r="D55" s="78">
        <f>B55/National!B57</f>
        <v>2.2703586797712189E-2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f>2000</f>
        <v>2000</v>
      </c>
      <c r="C56" s="175">
        <f t="shared" si="6"/>
        <v>2.8789819919676402E-2</v>
      </c>
      <c r="D56" s="78">
        <f>B56/National!B58</f>
        <v>8.9837573666810399E-3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69469</v>
      </c>
      <c r="C57" s="178">
        <f>SUM(C51:C56)</f>
        <v>1</v>
      </c>
      <c r="D57" s="177">
        <f>B57/National!B59</f>
        <v>2.336263317178458E-2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83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24326974</v>
      </c>
      <c r="C4" s="99"/>
      <c r="D4" s="77">
        <f>B4/National!B4</f>
        <v>8.000722252842668E-2</v>
      </c>
      <c r="E4" s="1"/>
      <c r="F4" s="146" t="s">
        <v>10</v>
      </c>
      <c r="G4" s="195">
        <v>7689887</v>
      </c>
      <c r="H4" s="189">
        <f>G4/G$6</f>
        <v>0.50018573489649421</v>
      </c>
      <c r="I4" s="112">
        <f>+G4/National!G4</f>
        <v>7.4213698173878045E-2</v>
      </c>
    </row>
    <row r="5" spans="1:9">
      <c r="A5" s="8" t="s">
        <v>167</v>
      </c>
      <c r="B5" s="50">
        <f>248416+13381</f>
        <v>261797</v>
      </c>
      <c r="C5" s="100"/>
      <c r="D5" s="79">
        <f>B5/National!B5</f>
        <v>7.4007453410530374E-2</v>
      </c>
      <c r="E5" s="1"/>
      <c r="F5" s="146" t="s">
        <v>11</v>
      </c>
      <c r="G5" s="196">
        <v>7684176</v>
      </c>
      <c r="H5" s="86">
        <f>G5/G$6</f>
        <v>0.49981426510350579</v>
      </c>
      <c r="I5" s="113">
        <f>+G5/National!G5</f>
        <v>7.339061127315287E-2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15374063</v>
      </c>
      <c r="H6" s="182">
        <f>SUM(H4:H5)</f>
        <v>1</v>
      </c>
      <c r="I6" s="183">
        <f>+G6/National!G6</f>
        <v>7.3800012702536319E-2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11917740</v>
      </c>
      <c r="C8" s="174">
        <f>B8/B10</f>
        <v>0.73748970675697756</v>
      </c>
      <c r="D8" s="77">
        <f>B8/National!B8</f>
        <v>8.7241621307366402E-2</v>
      </c>
      <c r="E8" s="1"/>
      <c r="F8" s="146" t="s">
        <v>32</v>
      </c>
      <c r="G8" s="206">
        <f>20/100</f>
        <v>0.2</v>
      </c>
      <c r="H8" s="87"/>
      <c r="I8" s="87"/>
    </row>
    <row r="9" spans="1:9">
      <c r="A9" s="146" t="s">
        <v>169</v>
      </c>
      <c r="B9" s="150">
        <v>4242133</v>
      </c>
      <c r="C9" s="175">
        <f>B9/B10</f>
        <v>0.26251029324302239</v>
      </c>
      <c r="D9" s="78">
        <f>B9/National!B9</f>
        <v>0.11001263290280289</v>
      </c>
      <c r="E9" s="1"/>
      <c r="F9" s="146" t="s">
        <v>31</v>
      </c>
      <c r="G9" s="207">
        <f>20/100</f>
        <v>0.2</v>
      </c>
      <c r="H9" s="87"/>
      <c r="I9" s="87"/>
    </row>
    <row r="10" spans="1:9">
      <c r="A10" s="9" t="s">
        <v>9</v>
      </c>
      <c r="B10" s="152">
        <f>SUM(B8:B9)</f>
        <v>16159873</v>
      </c>
      <c r="C10" s="176">
        <f>SUM(C8:C9)</f>
        <v>1</v>
      </c>
      <c r="D10" s="165"/>
      <c r="E10" s="1"/>
      <c r="F10" s="146" t="s">
        <v>33</v>
      </c>
      <c r="G10" s="205">
        <f>20/100</f>
        <v>0.2</v>
      </c>
      <c r="H10" s="87"/>
      <c r="I10" s="87"/>
    </row>
    <row r="11" spans="1:9">
      <c r="A11" s="146" t="s">
        <v>170</v>
      </c>
      <c r="B11" s="149">
        <v>244193</v>
      </c>
      <c r="C11" s="93">
        <f>B11/(B12+B11)</f>
        <v>2.051212740798657E-2</v>
      </c>
      <c r="D11" s="77">
        <f>B11/National!B11</f>
        <v>6.4748703132739172E-2</v>
      </c>
      <c r="E11" s="1"/>
      <c r="G11" s="49"/>
      <c r="H11" s="87"/>
      <c r="I11" s="86"/>
    </row>
    <row r="12" spans="1:9" ht="23.25">
      <c r="A12" s="146" t="s">
        <v>171</v>
      </c>
      <c r="B12" s="150">
        <v>11660618</v>
      </c>
      <c r="C12" s="95">
        <f>B12/(B11+B12)</f>
        <v>0.97948787259201342</v>
      </c>
      <c r="D12" s="79">
        <f>B12/National!B12</f>
        <v>8.8201112325001357E-2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8830985</v>
      </c>
      <c r="H13" s="189">
        <f>G13/G$18</f>
        <v>0.47367787275309708</v>
      </c>
      <c r="I13" s="92">
        <f>+G13/National!G13</f>
        <v>6.4422199549790851E-2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9284324</v>
      </c>
      <c r="H14" s="86">
        <f>G14/G$18</f>
        <v>0.49799414700291361</v>
      </c>
      <c r="I14" s="106">
        <f>+G14/National!G14</f>
        <v>8.4217982094180119E-2</v>
      </c>
    </row>
    <row r="15" spans="1:9">
      <c r="A15" s="146" t="s">
        <v>3</v>
      </c>
      <c r="B15" s="149">
        <v>212999</v>
      </c>
      <c r="C15" s="174">
        <f>B15/B$17</f>
        <v>0.6951573739246224</v>
      </c>
      <c r="D15" s="77">
        <f>B15/National!B15</f>
        <v>7.1542723634199334E-2</v>
      </c>
      <c r="E15" s="3"/>
      <c r="F15" s="146" t="s">
        <v>13</v>
      </c>
      <c r="G15" s="150">
        <v>92639</v>
      </c>
      <c r="H15" s="86">
        <f>G15/G$18</f>
        <v>4.9689864102333047E-3</v>
      </c>
      <c r="I15" s="106">
        <f>+G15/National!G15</f>
        <v>0.10985191650025851</v>
      </c>
    </row>
    <row r="16" spans="1:9">
      <c r="A16" s="146" t="s">
        <v>2</v>
      </c>
      <c r="B16" s="150">
        <v>93405</v>
      </c>
      <c r="C16" s="175">
        <f>B16/B$17</f>
        <v>0.3048426260753776</v>
      </c>
      <c r="D16" s="78">
        <f>B16/National!B16</f>
        <v>8.7659778140661074E-2</v>
      </c>
      <c r="E16" s="1"/>
      <c r="F16" s="9" t="s">
        <v>1</v>
      </c>
      <c r="G16" s="162">
        <v>18207948</v>
      </c>
      <c r="H16" s="105"/>
      <c r="I16" s="106"/>
    </row>
    <row r="17" spans="1:9">
      <c r="A17" s="9" t="s">
        <v>1</v>
      </c>
      <c r="B17" s="154">
        <f>SUM(B15:B16)</f>
        <v>306404</v>
      </c>
      <c r="C17" s="176">
        <f>SUM(C15:C16)</f>
        <v>1</v>
      </c>
      <c r="D17" s="177">
        <f>B17/National!B17</f>
        <v>7.5790646408599255E-2</v>
      </c>
      <c r="E17" s="1"/>
      <c r="F17" s="108" t="s">
        <v>35</v>
      </c>
      <c r="G17" s="117">
        <v>435492</v>
      </c>
      <c r="H17" s="105">
        <f>G17/G$18</f>
        <v>2.3358993833756003E-2</v>
      </c>
      <c r="I17" s="106">
        <f>+G17/National!G17</f>
        <v>5.6509963583817428E-2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18643440</v>
      </c>
      <c r="H18" s="185">
        <f>SUM(H13:H17)</f>
        <v>1</v>
      </c>
      <c r="I18" s="186">
        <f>+G18/National!G18</f>
        <v>7.2862595924335402E-2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2058+1176</f>
        <v>3234</v>
      </c>
      <c r="C20" s="174">
        <f>B20/B$26</f>
        <v>1.0554692497486978E-2</v>
      </c>
      <c r="D20" s="77">
        <f>B20/National!B20</f>
        <v>6.9174990909285361E-2</v>
      </c>
      <c r="E20" s="51"/>
      <c r="F20" s="163" t="s">
        <v>3</v>
      </c>
      <c r="G20" s="108">
        <f>1357+384</f>
        <v>1741</v>
      </c>
      <c r="H20" s="189">
        <f>G20/G$23</f>
        <v>0.51478415138971023</v>
      </c>
      <c r="I20" s="92">
        <f>+G20/National!G20</f>
        <v>8.3673763637237469E-2</v>
      </c>
    </row>
    <row r="21" spans="1:9">
      <c r="A21" s="146" t="s">
        <v>7</v>
      </c>
      <c r="B21" s="157">
        <f>7478+5797</f>
        <v>13275</v>
      </c>
      <c r="C21" s="175">
        <f t="shared" ref="C21:C25" si="0">B21/B$26</f>
        <v>4.3325152413153878E-2</v>
      </c>
      <c r="D21" s="78">
        <f>B21/National!B21</f>
        <v>8.3225709377703655E-2</v>
      </c>
      <c r="E21" s="51"/>
      <c r="F21" s="163" t="s">
        <v>2</v>
      </c>
      <c r="G21" s="198">
        <f>931+612</f>
        <v>1543</v>
      </c>
      <c r="H21" s="86">
        <f t="shared" ref="H21:H22" si="1">G21/G$23</f>
        <v>0.45623891188645771</v>
      </c>
      <c r="I21" s="106">
        <f>+G21/National!G21</f>
        <v>9.6703434444722985E-2</v>
      </c>
    </row>
    <row r="22" spans="1:9">
      <c r="A22" s="146" t="s">
        <v>6</v>
      </c>
      <c r="B22" s="157">
        <f>10008+8142</f>
        <v>18150</v>
      </c>
      <c r="C22" s="175">
        <f t="shared" si="0"/>
        <v>5.9235519118549365E-2</v>
      </c>
      <c r="D22" s="78">
        <f>B22/National!B22</f>
        <v>7.5250316134248221E-2</v>
      </c>
      <c r="E22" s="51"/>
      <c r="F22" s="163" t="s">
        <v>28</v>
      </c>
      <c r="G22" s="181">
        <v>98</v>
      </c>
      <c r="H22" s="86">
        <f t="shared" si="1"/>
        <v>2.8976936723832052E-2</v>
      </c>
      <c r="I22" s="106">
        <f>+G22/National!G22</f>
        <v>0.19678714859437751</v>
      </c>
    </row>
    <row r="23" spans="1:9">
      <c r="A23" s="146" t="s">
        <v>30</v>
      </c>
      <c r="B23" s="157">
        <f>12470+34556+18366</f>
        <v>65392</v>
      </c>
      <c r="C23" s="175">
        <f t="shared" si="0"/>
        <v>0.21341757940496861</v>
      </c>
      <c r="D23" s="78">
        <f>B23/National!B23</f>
        <v>8.2286485119298536E-2</v>
      </c>
      <c r="E23" s="51"/>
      <c r="F23" s="9" t="s">
        <v>1</v>
      </c>
      <c r="G23" s="197">
        <f>SUM(G20:G22)</f>
        <v>3382</v>
      </c>
      <c r="H23" s="132">
        <f>SUM(H20:H22)</f>
        <v>1</v>
      </c>
      <c r="I23" s="133">
        <f>+G23/National!G23</f>
        <v>9.0765143179195401E-2</v>
      </c>
    </row>
    <row r="24" spans="1:9">
      <c r="A24" s="146" t="s">
        <v>8</v>
      </c>
      <c r="B24" s="157">
        <f>140532+64232</f>
        <v>204764</v>
      </c>
      <c r="C24" s="175">
        <f t="shared" si="0"/>
        <v>0.66828109293612359</v>
      </c>
      <c r="D24" s="78">
        <f>B24/National!B24</f>
        <v>7.3410427834327135E-2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1589</v>
      </c>
      <c r="C25" s="175">
        <f t="shared" si="0"/>
        <v>5.1859636297176279E-3</v>
      </c>
      <c r="D25" s="78">
        <f>B25/National!B25</f>
        <v>0.14018526687251875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306404</v>
      </c>
      <c r="C26" s="176">
        <f>SUM(C20:C25)</f>
        <v>1</v>
      </c>
      <c r="D26" s="177">
        <f>B26/National!B26</f>
        <v>7.5790458936899327E-2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14802070</v>
      </c>
      <c r="H27" s="87"/>
      <c r="I27" s="113">
        <f>+G27/National!G27</f>
        <v>0.10719985962837905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11089254</v>
      </c>
      <c r="H28" s="87"/>
      <c r="I28" s="114">
        <f>+G28/National!G28</f>
        <v>8.3389974400939593E-2</v>
      </c>
    </row>
    <row r="29" spans="1:9">
      <c r="A29" s="146" t="s">
        <v>91</v>
      </c>
      <c r="B29" s="149">
        <f>66419+13648</f>
        <v>80067</v>
      </c>
      <c r="C29" s="174">
        <f>B29/B$34</f>
        <v>0.26131186276941554</v>
      </c>
      <c r="D29" s="77">
        <f>B29/National!B29</f>
        <v>0.10268514991670226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132961+12671</f>
        <v>145632</v>
      </c>
      <c r="C30" s="175">
        <f t="shared" ref="C30:C33" si="2">B30/B$34</f>
        <v>0.47529405621336535</v>
      </c>
      <c r="D30" s="78">
        <f>B30/National!B30</f>
        <v>8.1447569022273472E-2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12781+66948</f>
        <v>79729</v>
      </c>
      <c r="C31" s="175">
        <f t="shared" si="2"/>
        <v>0.26020874401117478</v>
      </c>
      <c r="D31" s="78">
        <f>B31/National!B31</f>
        <v>6.1976462174683625E-2</v>
      </c>
      <c r="E31" s="51"/>
      <c r="F31" s="163" t="s">
        <v>16</v>
      </c>
      <c r="G31" s="168">
        <v>2326552</v>
      </c>
      <c r="H31" s="92">
        <f>G31/G$38</f>
        <v>0.11695146002076175</v>
      </c>
      <c r="I31" s="112">
        <f>+G31/National!G31</f>
        <v>5.5076975128868721E-2</v>
      </c>
    </row>
    <row r="32" spans="1:9">
      <c r="A32" s="146" t="s">
        <v>94</v>
      </c>
      <c r="B32" s="157">
        <f>7+138</f>
        <v>145</v>
      </c>
      <c r="C32" s="175">
        <f t="shared" si="2"/>
        <v>4.7323141995535305E-4</v>
      </c>
      <c r="D32" s="78">
        <f>B32/National!B32</f>
        <v>2.5431011803497203E-3</v>
      </c>
      <c r="E32" s="51"/>
      <c r="F32" s="163" t="s">
        <v>17</v>
      </c>
      <c r="G32" s="169">
        <v>4140158</v>
      </c>
      <c r="H32" s="106">
        <f t="shared" ref="H32:H37" si="3">G32/G$38</f>
        <v>0.20811807465151733</v>
      </c>
      <c r="I32" s="113">
        <f>+G32/National!G32</f>
        <v>6.6548939548559186E-2</v>
      </c>
    </row>
    <row r="33" spans="1:9">
      <c r="A33" s="146" t="s">
        <v>95</v>
      </c>
      <c r="B33" s="150">
        <f>831+0</f>
        <v>831</v>
      </c>
      <c r="C33" s="175">
        <f t="shared" si="2"/>
        <v>2.7121055860889545E-3</v>
      </c>
      <c r="D33" s="78">
        <f>B33/National!B33</f>
        <v>6.317854210382264E-3</v>
      </c>
      <c r="E33" s="51"/>
      <c r="F33" s="163" t="s">
        <v>18</v>
      </c>
      <c r="G33" s="169">
        <v>1621578</v>
      </c>
      <c r="H33" s="106">
        <f t="shared" si="3"/>
        <v>8.1513722726827859E-2</v>
      </c>
      <c r="I33" s="113">
        <f>+G33/National!G33</f>
        <v>5.1045465676101735E-2</v>
      </c>
    </row>
    <row r="34" spans="1:9">
      <c r="A34" s="9" t="s">
        <v>1</v>
      </c>
      <c r="B34" s="154">
        <f>SUM(B29:B33)</f>
        <v>306404</v>
      </c>
      <c r="C34" s="176">
        <f>SUM(C29:C33)</f>
        <v>1</v>
      </c>
      <c r="D34" s="180">
        <f>B34/National!B34</f>
        <v>7.5790646408599255E-2</v>
      </c>
      <c r="E34" s="51"/>
      <c r="F34" s="163" t="s">
        <v>19</v>
      </c>
      <c r="G34" s="169">
        <v>1619881</v>
      </c>
      <c r="H34" s="106">
        <f t="shared" si="3"/>
        <v>8.1428417679850512E-2</v>
      </c>
      <c r="I34" s="113">
        <f>+G34/National!G34</f>
        <v>0.18862241492620596</v>
      </c>
    </row>
    <row r="35" spans="1:9">
      <c r="B35" s="49"/>
      <c r="C35" s="96"/>
      <c r="D35" s="96"/>
      <c r="E35" s="51"/>
      <c r="F35" s="163" t="s">
        <v>20</v>
      </c>
      <c r="G35" s="169">
        <v>205656</v>
      </c>
      <c r="H35" s="106">
        <f t="shared" si="3"/>
        <v>1.0337946223436992E-2</v>
      </c>
      <c r="I35" s="113">
        <f>+G35/National!G35</f>
        <v>1.5425676622894726E-2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1600341</v>
      </c>
      <c r="H36" s="106">
        <f t="shared" si="3"/>
        <v>8.0446178069987634E-2</v>
      </c>
      <c r="I36" s="113">
        <f>+G36/National!G36</f>
        <v>0.10115570417780749</v>
      </c>
    </row>
    <row r="37" spans="1:9">
      <c r="A37" s="146" t="s">
        <v>5</v>
      </c>
      <c r="B37" s="149">
        <f>8353+6802</f>
        <v>15155</v>
      </c>
      <c r="C37" s="174">
        <f>B37/B$43</f>
        <v>2.3140124869641163E-2</v>
      </c>
      <c r="D37" s="77">
        <f>B37/National!B37</f>
        <v>7.0954360731876318E-2</v>
      </c>
      <c r="E37" s="51"/>
      <c r="F37" s="163" t="s">
        <v>22</v>
      </c>
      <c r="G37" s="170">
        <v>8379147</v>
      </c>
      <c r="H37" s="106">
        <f t="shared" si="3"/>
        <v>0.42120420062761793</v>
      </c>
      <c r="I37" s="114">
        <f>+G37/National!G37</f>
        <v>0.32659387507105014</v>
      </c>
    </row>
    <row r="38" spans="1:9">
      <c r="A38" s="146" t="s">
        <v>7</v>
      </c>
      <c r="B38" s="157">
        <f>22636+21733</f>
        <v>44369</v>
      </c>
      <c r="C38" s="175">
        <f t="shared" ref="C38:C42" si="4">B38/B$43</f>
        <v>6.7746895436562773E-2</v>
      </c>
      <c r="D38" s="78">
        <f>B38/National!B38</f>
        <v>9.2915869140011473E-2</v>
      </c>
      <c r="E38" s="51"/>
      <c r="F38" s="47" t="s">
        <v>1</v>
      </c>
      <c r="G38" s="187">
        <f>SUM(G31:G37)</f>
        <v>19893313</v>
      </c>
      <c r="H38" s="188">
        <f>SUM(H31:H37)</f>
        <v>1</v>
      </c>
      <c r="I38" s="188">
        <f>+G38/National!G39</f>
        <v>9.8834117083880305E-2</v>
      </c>
    </row>
    <row r="39" spans="1:9">
      <c r="A39" s="146" t="s">
        <v>6</v>
      </c>
      <c r="B39" s="157">
        <f>22126+22705</f>
        <v>44831</v>
      </c>
      <c r="C39" s="175">
        <f t="shared" si="4"/>
        <v>6.8452321876006791E-2</v>
      </c>
      <c r="D39" s="78">
        <f>B39/National!B39</f>
        <v>8.1114920795751652E-2</v>
      </c>
      <c r="E39" s="51"/>
      <c r="H39" s="87"/>
      <c r="I39" s="87"/>
    </row>
    <row r="40" spans="1:9" ht="23.25">
      <c r="A40" s="146" t="s">
        <v>30</v>
      </c>
      <c r="B40" s="157">
        <f>69818+36732+26857</f>
        <v>133407</v>
      </c>
      <c r="C40" s="175">
        <f t="shared" si="4"/>
        <v>0.20369875542621041</v>
      </c>
      <c r="D40" s="78">
        <f>B40/National!B40</f>
        <v>8.2923606129809035E-2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281065+128464</f>
        <v>409529</v>
      </c>
      <c r="C41" s="175">
        <f t="shared" si="4"/>
        <v>0.62530862406725674</v>
      </c>
      <c r="D41" s="78">
        <f>B41/National!B41</f>
        <v>7.3410659727774191E-2</v>
      </c>
      <c r="E41" s="51"/>
      <c r="F41" s="163" t="s">
        <v>38</v>
      </c>
      <c r="G41" s="168">
        <v>11328855</v>
      </c>
      <c r="H41" s="189">
        <f>G41/G$47</f>
        <v>0.61793317498172606</v>
      </c>
      <c r="I41" s="113">
        <f>+G41/National!G42</f>
        <v>0.12492131807979197</v>
      </c>
    </row>
    <row r="42" spans="1:9">
      <c r="A42" s="156" t="s">
        <v>29</v>
      </c>
      <c r="B42" s="150">
        <f>7632</f>
        <v>7632</v>
      </c>
      <c r="C42" s="175">
        <f t="shared" si="4"/>
        <v>1.1653278324322097E-2</v>
      </c>
      <c r="D42" s="78">
        <f>B42/National!B42</f>
        <v>0.14460022735884806</v>
      </c>
      <c r="E42" s="51"/>
      <c r="F42" s="163" t="s">
        <v>39</v>
      </c>
      <c r="G42" s="169">
        <v>3028308</v>
      </c>
      <c r="H42" s="86">
        <f t="shared" ref="H42:H46" si="5">G42/G$47</f>
        <v>0.165179268095722</v>
      </c>
      <c r="I42" s="113">
        <f>+G42/National!G43</f>
        <v>6.7997380166638158E-2</v>
      </c>
    </row>
    <row r="43" spans="1:9">
      <c r="A43" s="9" t="s">
        <v>1</v>
      </c>
      <c r="B43" s="154">
        <f>SUM(B37:B42)</f>
        <v>654923</v>
      </c>
      <c r="C43" s="178">
        <f>SUM(C37:C42)</f>
        <v>0.99999999999999989</v>
      </c>
      <c r="D43" s="179">
        <f>B43/National!B43</f>
        <v>7.7195355145687122E-2</v>
      </c>
      <c r="E43" s="51"/>
      <c r="F43" s="163" t="s">
        <v>40</v>
      </c>
      <c r="G43" s="169">
        <v>686952</v>
      </c>
      <c r="H43" s="86">
        <f t="shared" si="5"/>
        <v>3.7469844076920986E-2</v>
      </c>
      <c r="I43" s="113">
        <f>+G43/National!G44</f>
        <v>5.2435181351006319E-2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1423463</v>
      </c>
      <c r="H44" s="86">
        <f t="shared" si="5"/>
        <v>7.7642887216670411E-2</v>
      </c>
      <c r="I44" s="113">
        <f>+G44/National!G45</f>
        <v>9.6686162889344271E-2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921393</v>
      </c>
      <c r="H45" s="86">
        <f t="shared" si="5"/>
        <v>5.0257444542801323E-2</v>
      </c>
      <c r="I45" s="113">
        <f>+G45/National!G46</f>
        <v>0.11075959371812587</v>
      </c>
    </row>
    <row r="46" spans="1:9">
      <c r="A46" s="8" t="s">
        <v>3</v>
      </c>
      <c r="B46" s="52">
        <v>70546</v>
      </c>
      <c r="C46" s="93">
        <f>B46/B$48</f>
        <v>0.2997085588532683</v>
      </c>
      <c r="D46" s="77">
        <f>B46/National!B48</f>
        <v>7.1228511598133315E-2</v>
      </c>
      <c r="E46" s="51"/>
      <c r="F46" s="163" t="s">
        <v>43</v>
      </c>
      <c r="G46" s="170">
        <v>944492</v>
      </c>
      <c r="H46" s="86">
        <f t="shared" si="5"/>
        <v>5.1517381086159227E-2</v>
      </c>
      <c r="I46" s="113">
        <f>+G46/National!G47</f>
        <v>0.11856506063314153</v>
      </c>
    </row>
    <row r="47" spans="1:9">
      <c r="A47" s="8" t="s">
        <v>2</v>
      </c>
      <c r="B47" s="52">
        <v>164836</v>
      </c>
      <c r="C47" s="97">
        <f>B47/B$48</f>
        <v>0.7002914411467317</v>
      </c>
      <c r="D47" s="78">
        <f>B47/National!B49</f>
        <v>8.3120744332963042E-2</v>
      </c>
      <c r="E47" s="51"/>
      <c r="F47" s="9" t="s">
        <v>1</v>
      </c>
      <c r="G47" s="191">
        <f>SUM(G41:G46)</f>
        <v>18333463</v>
      </c>
      <c r="H47" s="182">
        <f>SUM(H41:H46)</f>
        <v>1.0000000000000002</v>
      </c>
      <c r="I47" s="188">
        <f>+G47/National!G49</f>
        <v>0.10105569640537655</v>
      </c>
    </row>
    <row r="48" spans="1:9">
      <c r="A48" s="9" t="s">
        <v>1</v>
      </c>
      <c r="B48" s="155">
        <f>SUM(B46:B47)</f>
        <v>235382</v>
      </c>
      <c r="C48" s="165">
        <f>SUM(C46:C47)</f>
        <v>1</v>
      </c>
      <c r="D48" s="177">
        <f>B48/National!B50</f>
        <v>7.915967296550977E-2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2921406</v>
      </c>
      <c r="H50" s="189">
        <f>G50/G$52</f>
        <v>0.86427911063513174</v>
      </c>
      <c r="I50" s="113">
        <f>+G50/National!G52</f>
        <v>9.3211466307732749E-2</v>
      </c>
    </row>
    <row r="51" spans="1:9">
      <c r="A51" s="146" t="s">
        <v>5</v>
      </c>
      <c r="B51" s="149">
        <f>15397+39492</f>
        <v>54889</v>
      </c>
      <c r="C51" s="174">
        <f>B51/B$57</f>
        <v>0.23319115310431554</v>
      </c>
      <c r="D51" s="77">
        <f>B51/National!B53</f>
        <v>7.6300319302289046E-2</v>
      </c>
      <c r="E51" s="51"/>
      <c r="F51" s="163" t="s">
        <v>97</v>
      </c>
      <c r="G51" s="194">
        <v>458759</v>
      </c>
      <c r="H51" s="86">
        <f>G51/G$52</f>
        <v>0.13572088936486829</v>
      </c>
      <c r="I51" s="113">
        <f>+G51/National!G53</f>
        <v>9.0972511273925305E-2</v>
      </c>
    </row>
    <row r="52" spans="1:9">
      <c r="A52" s="146" t="s">
        <v>7</v>
      </c>
      <c r="B52" s="157">
        <f>20448+37503</f>
        <v>57951</v>
      </c>
      <c r="C52" s="175">
        <f t="shared" ref="C52:C56" si="6">B52/B$57</f>
        <v>0.24619979437680026</v>
      </c>
      <c r="D52" s="78">
        <f>B52/National!B54</f>
        <v>8.4616429175299726E-2</v>
      </c>
      <c r="E52" s="51"/>
      <c r="F52" s="60" t="s">
        <v>1</v>
      </c>
      <c r="G52" s="190">
        <f>SUM(G50:G51)</f>
        <v>3380165</v>
      </c>
      <c r="H52" s="185">
        <f>SUM(H50:H51)</f>
        <v>1</v>
      </c>
      <c r="I52" s="192">
        <f>+G52/National!G54</f>
        <v>9.2901151156729159E-2</v>
      </c>
    </row>
    <row r="53" spans="1:9">
      <c r="A53" s="146" t="s">
        <v>6</v>
      </c>
      <c r="B53" s="157">
        <f>12012+28410</f>
        <v>40422</v>
      </c>
      <c r="C53" s="175">
        <f t="shared" si="6"/>
        <v>0.17172935908438197</v>
      </c>
      <c r="D53" s="78">
        <f>B53/National!B55</f>
        <v>7.6410942745667357E-2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14461+2712+17769</f>
        <v>34942</v>
      </c>
      <c r="C54" s="175">
        <f t="shared" si="6"/>
        <v>0.14844805465158764</v>
      </c>
      <c r="D54" s="78">
        <f>B54/National!B56</f>
        <v>8.3884891740907991E-2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5516+9334</f>
        <v>14850</v>
      </c>
      <c r="C55" s="175">
        <f t="shared" si="6"/>
        <v>6.3088936282298558E-2</v>
      </c>
      <c r="D55" s="78">
        <f>B55/National!B57</f>
        <v>3.7024847786736877E-2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32328</v>
      </c>
      <c r="C56" s="175">
        <f t="shared" si="6"/>
        <v>0.13734270250061603</v>
      </c>
      <c r="D56" s="78">
        <f>B56/National!B58</f>
        <v>0.14521345407503233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235382</v>
      </c>
      <c r="C57" s="178">
        <f>SUM(C51:C56)</f>
        <v>1</v>
      </c>
      <c r="D57" s="177">
        <f>B57/National!B59</f>
        <v>7.915967296550977E-2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84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2736424</v>
      </c>
      <c r="C4" s="99"/>
      <c r="D4" s="77">
        <f>B4/National!B4</f>
        <v>8.9996266654507658E-3</v>
      </c>
      <c r="E4" s="1"/>
      <c r="F4" s="146" t="s">
        <v>10</v>
      </c>
      <c r="G4" s="195">
        <v>848904</v>
      </c>
      <c r="H4" s="189">
        <f>G4/G$6</f>
        <v>0.5031120614755118</v>
      </c>
      <c r="I4" s="112">
        <f>+G4/National!G4</f>
        <v>8.1926178153980383E-3</v>
      </c>
    </row>
    <row r="5" spans="1:9">
      <c r="A5" s="8" t="s">
        <v>167</v>
      </c>
      <c r="B5" s="50">
        <f>80234+1910</f>
        <v>82144</v>
      </c>
      <c r="C5" s="100"/>
      <c r="D5" s="79">
        <f>B5/National!B5</f>
        <v>2.3221306023195862E-2</v>
      </c>
      <c r="E5" s="1"/>
      <c r="F5" s="146" t="s">
        <v>11</v>
      </c>
      <c r="G5" s="196">
        <v>838402</v>
      </c>
      <c r="H5" s="86">
        <f>G5/G$6</f>
        <v>0.49688793852448815</v>
      </c>
      <c r="I5" s="113">
        <f>+G5/National!G5</f>
        <v>8.0074734457714018E-3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1687306</v>
      </c>
      <c r="H6" s="182">
        <f>SUM(H4:H5)</f>
        <v>1</v>
      </c>
      <c r="I6" s="183">
        <f>+G6/National!G6</f>
        <v>8.0995638064619447E-3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1063778</v>
      </c>
      <c r="C8" s="174">
        <f>B8/B10</f>
        <v>0.69872495494122655</v>
      </c>
      <c r="D8" s="77">
        <f>B8/National!B8</f>
        <v>7.7871909800941797E-3</v>
      </c>
      <c r="E8" s="1"/>
      <c r="F8" s="146" t="s">
        <v>32</v>
      </c>
      <c r="G8" s="206">
        <f>24.5/100</f>
        <v>0.245</v>
      </c>
      <c r="H8" s="87"/>
      <c r="I8" s="87"/>
    </row>
    <row r="9" spans="1:9">
      <c r="A9" s="146" t="s">
        <v>169</v>
      </c>
      <c r="B9" s="150">
        <v>458678</v>
      </c>
      <c r="C9" s="175">
        <f>B9/B10</f>
        <v>0.30127504505877345</v>
      </c>
      <c r="D9" s="78">
        <f>B9/National!B9</f>
        <v>1.1895047711750628E-2</v>
      </c>
      <c r="E9" s="1"/>
      <c r="F9" s="146" t="s">
        <v>31</v>
      </c>
      <c r="G9" s="207">
        <f>24.5/100</f>
        <v>0.245</v>
      </c>
      <c r="H9" s="87"/>
      <c r="I9" s="87"/>
    </row>
    <row r="10" spans="1:9">
      <c r="A10" s="9" t="s">
        <v>9</v>
      </c>
      <c r="B10" s="152">
        <f>SUM(B8:B9)</f>
        <v>1522456</v>
      </c>
      <c r="C10" s="176">
        <f>SUM(C8:C9)</f>
        <v>1</v>
      </c>
      <c r="D10" s="165"/>
      <c r="E10" s="1"/>
      <c r="F10" s="146" t="s">
        <v>33</v>
      </c>
      <c r="G10" s="205">
        <f>24.5/100</f>
        <v>0.245</v>
      </c>
      <c r="H10" s="87"/>
      <c r="I10" s="87"/>
    </row>
    <row r="11" spans="1:9">
      <c r="A11" s="146" t="s">
        <v>170</v>
      </c>
      <c r="B11" s="149">
        <v>34820</v>
      </c>
      <c r="C11" s="93">
        <f>B11/(B12+B11)</f>
        <v>3.3516412646526016E-2</v>
      </c>
      <c r="D11" s="77">
        <f>B11/National!B11</f>
        <v>9.2326554941459336E-3</v>
      </c>
      <c r="E11" s="1"/>
      <c r="G11" s="49"/>
      <c r="H11" s="87"/>
      <c r="I11" s="86"/>
    </row>
    <row r="12" spans="1:9" ht="23.25">
      <c r="A12" s="146" t="s">
        <v>171</v>
      </c>
      <c r="B12" s="150">
        <v>1004074</v>
      </c>
      <c r="C12" s="95">
        <f>B12/(B11+B12)</f>
        <v>0.96648358735347395</v>
      </c>
      <c r="D12" s="79">
        <f>B12/National!B12</f>
        <v>7.5948327658631317E-3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1192191</v>
      </c>
      <c r="H13" s="189">
        <f>G13/G$18</f>
        <v>0.47754668452640125</v>
      </c>
      <c r="I13" s="92">
        <f>+G13/National!G13</f>
        <v>8.6970554817457739E-3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1245165</v>
      </c>
      <c r="H14" s="86">
        <f>G14/G$18</f>
        <v>0.49876606805311935</v>
      </c>
      <c r="I14" s="106">
        <f>+G14/National!G14</f>
        <v>1.1294875499207028E-2</v>
      </c>
    </row>
    <row r="15" spans="1:9">
      <c r="A15" s="146" t="s">
        <v>3</v>
      </c>
      <c r="B15" s="149">
        <v>33632</v>
      </c>
      <c r="C15" s="174">
        <f>B15/B$17</f>
        <v>0.75230958505759982</v>
      </c>
      <c r="D15" s="77">
        <f>B15/National!B15</f>
        <v>1.1296413979715359E-2</v>
      </c>
      <c r="E15" s="3"/>
      <c r="F15" s="146" t="s">
        <v>13</v>
      </c>
      <c r="G15" s="150">
        <v>1329</v>
      </c>
      <c r="H15" s="86">
        <f>G15/G$18</f>
        <v>5.3234720253347596E-4</v>
      </c>
      <c r="I15" s="106">
        <f>+G15/National!G15</f>
        <v>1.5759366684532817E-3</v>
      </c>
    </row>
    <row r="16" spans="1:9">
      <c r="A16" s="146" t="s">
        <v>2</v>
      </c>
      <c r="B16" s="150">
        <v>11073</v>
      </c>
      <c r="C16" s="175">
        <f>B16/B$17</f>
        <v>0.24769041494240018</v>
      </c>
      <c r="D16" s="78">
        <f>B16/National!B16</f>
        <v>1.039191395911932E-2</v>
      </c>
      <c r="E16" s="1"/>
      <c r="F16" s="9" t="s">
        <v>1</v>
      </c>
      <c r="G16" s="162">
        <v>2438685</v>
      </c>
      <c r="H16" s="105"/>
      <c r="I16" s="106"/>
    </row>
    <row r="17" spans="1:9">
      <c r="A17" s="9" t="s">
        <v>1</v>
      </c>
      <c r="B17" s="154">
        <f>SUM(B15:B16)</f>
        <v>44705</v>
      </c>
      <c r="C17" s="176">
        <f>SUM(C15:C16)</f>
        <v>1</v>
      </c>
      <c r="D17" s="177">
        <f>B17/National!B17</f>
        <v>1.1058017675018701E-2</v>
      </c>
      <c r="E17" s="1"/>
      <c r="F17" s="108" t="s">
        <v>35</v>
      </c>
      <c r="G17" s="117">
        <v>57806</v>
      </c>
      <c r="H17" s="105">
        <f>G17/G$18</f>
        <v>2.315490021794591E-2</v>
      </c>
      <c r="I17" s="106">
        <f>+G17/National!G17</f>
        <v>7.5009758042079997E-3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2496491</v>
      </c>
      <c r="H18" s="185">
        <f>SUM(H13:H17)</f>
        <v>0.99999999999999989</v>
      </c>
      <c r="I18" s="186">
        <f>+G18/National!G18</f>
        <v>9.7568267960065312E-3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725+211</f>
        <v>936</v>
      </c>
      <c r="C20" s="174">
        <f>B20/B$26</f>
        <v>2.0936787008455242E-2</v>
      </c>
      <c r="D20" s="77">
        <f>B20/National!B20</f>
        <v>2.0020962118457358E-2</v>
      </c>
      <c r="E20" s="51"/>
      <c r="F20" s="163" t="s">
        <v>3</v>
      </c>
      <c r="G20" s="108">
        <f>143+33</f>
        <v>176</v>
      </c>
      <c r="H20" s="189">
        <f>G20/G$23</f>
        <v>0.64</v>
      </c>
      <c r="I20" s="92">
        <f>+G20/National!G20</f>
        <v>8.4586917864180322E-3</v>
      </c>
    </row>
    <row r="21" spans="1:9">
      <c r="A21" s="146" t="s">
        <v>7</v>
      </c>
      <c r="B21" s="157">
        <f>990+367</f>
        <v>1357</v>
      </c>
      <c r="C21" s="175">
        <f t="shared" ref="C21:C25" si="0">B21/B$26</f>
        <v>3.0353867489822394E-2</v>
      </c>
      <c r="D21" s="78">
        <f>B21/National!B21</f>
        <v>8.5075169586097069E-3</v>
      </c>
      <c r="E21" s="51"/>
      <c r="F21" s="163" t="s">
        <v>2</v>
      </c>
      <c r="G21" s="198">
        <f>62+37</f>
        <v>99</v>
      </c>
      <c r="H21" s="86">
        <f t="shared" ref="H21:H22" si="1">G21/G$23</f>
        <v>0.36</v>
      </c>
      <c r="I21" s="106">
        <f>+G21/National!G21</f>
        <v>6.2045625470042616E-3</v>
      </c>
    </row>
    <row r="22" spans="1:9">
      <c r="A22" s="146" t="s">
        <v>6</v>
      </c>
      <c r="B22" s="157">
        <f>1489+835</f>
        <v>2324</v>
      </c>
      <c r="C22" s="175">
        <f t="shared" si="0"/>
        <v>5.1984073726121773E-2</v>
      </c>
      <c r="D22" s="78">
        <f>B22/National!B22</f>
        <v>9.6353572835257782E-3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3209+3791+857</f>
        <v>7857</v>
      </c>
      <c r="C23" s="175">
        <f t="shared" si="0"/>
        <v>0.17574822171520602</v>
      </c>
      <c r="D23" s="78">
        <f>B23/National!B23</f>
        <v>9.8869114506717742E-3</v>
      </c>
      <c r="E23" s="51"/>
      <c r="F23" s="9" t="s">
        <v>1</v>
      </c>
      <c r="G23" s="197">
        <f>SUM(G20:G22)</f>
        <v>275</v>
      </c>
      <c r="H23" s="132">
        <f>SUM(H20:H22)</f>
        <v>1</v>
      </c>
      <c r="I23" s="133">
        <f>+G23/National!G23</f>
        <v>7.3803708971847239E-3</v>
      </c>
    </row>
    <row r="24" spans="1:9">
      <c r="A24" s="146" t="s">
        <v>8</v>
      </c>
      <c r="B24" s="157">
        <f>23429+8783</f>
        <v>32212</v>
      </c>
      <c r="C24" s="175">
        <f t="shared" si="0"/>
        <v>0.72052968281662422</v>
      </c>
      <c r="D24" s="78">
        <f>B24/National!B24</f>
        <v>1.1548400604595268E-2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f>20</f>
        <v>20</v>
      </c>
      <c r="C25" s="175">
        <f t="shared" si="0"/>
        <v>4.4736724377041114E-4</v>
      </c>
      <c r="D25" s="78">
        <f>B25/National!B25</f>
        <v>1.7644464049404499E-3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44706</v>
      </c>
      <c r="C26" s="176">
        <f>SUM(C20:C25)</f>
        <v>1</v>
      </c>
      <c r="D26" s="177">
        <f>B26/National!B26</f>
        <v>1.1058237677161596E-2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1474838</v>
      </c>
      <c r="H27" s="87"/>
      <c r="I27" s="113">
        <f>+G27/National!G27</f>
        <v>1.0681102479220765E-2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1228717</v>
      </c>
      <c r="H28" s="87"/>
      <c r="I28" s="114">
        <f>+G28/National!G28</f>
        <v>9.2398171397281813E-3</v>
      </c>
    </row>
    <row r="29" spans="1:9">
      <c r="A29" s="146" t="s">
        <v>91</v>
      </c>
      <c r="B29" s="149">
        <f>4781+1060</f>
        <v>5841</v>
      </c>
      <c r="C29" s="174">
        <f>B29/B$34</f>
        <v>0.13065360354314856</v>
      </c>
      <c r="D29" s="77">
        <f>B29/National!B29</f>
        <v>7.4910257742073251E-3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22298+1671</f>
        <v>23969</v>
      </c>
      <c r="C30" s="175">
        <f t="shared" ref="C30:C33" si="2">B30/B$34</f>
        <v>0.53614727329664924</v>
      </c>
      <c r="D30" s="78">
        <f>B30/National!B30</f>
        <v>1.3405136109473694E-2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2360+8117</f>
        <v>10477</v>
      </c>
      <c r="C31" s="175">
        <f t="shared" si="2"/>
        <v>0.23435333064912986</v>
      </c>
      <c r="D31" s="78">
        <f>B31/National!B31</f>
        <v>8.1441808401480058E-3</v>
      </c>
      <c r="E31" s="51"/>
      <c r="F31" s="163" t="s">
        <v>16</v>
      </c>
      <c r="G31" s="168">
        <v>298506</v>
      </c>
      <c r="H31" s="92">
        <f>G31/G$38</f>
        <v>0.17255190759958819</v>
      </c>
      <c r="I31" s="112">
        <f>+G31/National!G31</f>
        <v>7.0665979259514015E-3</v>
      </c>
    </row>
    <row r="32" spans="1:9">
      <c r="A32" s="146" t="s">
        <v>94</v>
      </c>
      <c r="B32" s="157">
        <f>0</f>
        <v>0</v>
      </c>
      <c r="C32" s="175">
        <f t="shared" si="2"/>
        <v>0</v>
      </c>
      <c r="D32" s="78">
        <f>B32/National!B32</f>
        <v>0</v>
      </c>
      <c r="E32" s="51"/>
      <c r="F32" s="163" t="s">
        <v>17</v>
      </c>
      <c r="G32" s="169">
        <v>469797</v>
      </c>
      <c r="H32" s="106">
        <f t="shared" ref="H32:H37" si="3">G32/G$38</f>
        <v>0.27156696526891833</v>
      </c>
      <c r="I32" s="113">
        <f>+G32/National!G32</f>
        <v>7.5515215006515361E-3</v>
      </c>
    </row>
    <row r="33" spans="1:9">
      <c r="A33" s="146" t="s">
        <v>95</v>
      </c>
      <c r="B33" s="150">
        <f>4193+226</f>
        <v>4419</v>
      </c>
      <c r="C33" s="175">
        <f t="shared" si="2"/>
        <v>9.8845792511072339E-2</v>
      </c>
      <c r="D33" s="78">
        <f>B33/National!B33</f>
        <v>3.3596387190949734E-2</v>
      </c>
      <c r="E33" s="51"/>
      <c r="F33" s="163" t="s">
        <v>18</v>
      </c>
      <c r="G33" s="169">
        <v>557357</v>
      </c>
      <c r="H33" s="106">
        <f t="shared" si="3"/>
        <v>0.32218117412709857</v>
      </c>
      <c r="I33" s="113">
        <f>+G33/National!G33</f>
        <v>1.7544976321111311E-2</v>
      </c>
    </row>
    <row r="34" spans="1:9">
      <c r="A34" s="9" t="s">
        <v>1</v>
      </c>
      <c r="B34" s="154">
        <f>SUM(B29:B33)</f>
        <v>44706</v>
      </c>
      <c r="C34" s="176">
        <f>SUM(C29:C33)</f>
        <v>1</v>
      </c>
      <c r="D34" s="180">
        <f>B34/National!B34</f>
        <v>1.1058265030296074E-2</v>
      </c>
      <c r="E34" s="51"/>
      <c r="F34" s="163" t="s">
        <v>19</v>
      </c>
      <c r="G34" s="169">
        <v>0</v>
      </c>
      <c r="H34" s="106">
        <f t="shared" si="3"/>
        <v>0</v>
      </c>
      <c r="I34" s="113">
        <f>+G34/National!G34</f>
        <v>0</v>
      </c>
    </row>
    <row r="35" spans="1:9">
      <c r="B35" s="49"/>
      <c r="C35" s="96"/>
      <c r="D35" s="96"/>
      <c r="E35" s="51"/>
      <c r="F35" s="163" t="s">
        <v>20</v>
      </c>
      <c r="G35" s="169">
        <v>335097</v>
      </c>
      <c r="H35" s="106">
        <f t="shared" si="3"/>
        <v>0.1937033981926635</v>
      </c>
      <c r="I35" s="113">
        <f>+G35/National!G35</f>
        <v>2.5134681017340385E-2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69192</v>
      </c>
      <c r="H36" s="106">
        <f t="shared" si="3"/>
        <v>3.9996554811731443E-2</v>
      </c>
      <c r="I36" s="113">
        <f>+G36/National!G36</f>
        <v>4.3735463151108765E-3</v>
      </c>
    </row>
    <row r="37" spans="1:9">
      <c r="A37" s="146" t="s">
        <v>5</v>
      </c>
      <c r="B37" s="149">
        <f>2919+1338</f>
        <v>4257</v>
      </c>
      <c r="C37" s="174">
        <f>B37/B$43</f>
        <v>4.5328704985412187E-2</v>
      </c>
      <c r="D37" s="77">
        <f>B37/National!B37</f>
        <v>1.9930894994100792E-2</v>
      </c>
      <c r="E37" s="51"/>
      <c r="F37" s="163" t="s">
        <v>22</v>
      </c>
      <c r="G37" s="170">
        <v>0</v>
      </c>
      <c r="H37" s="106">
        <f t="shared" si="3"/>
        <v>0</v>
      </c>
      <c r="I37" s="114">
        <f>+G37/National!G37</f>
        <v>0</v>
      </c>
    </row>
    <row r="38" spans="1:9">
      <c r="A38" s="146" t="s">
        <v>7</v>
      </c>
      <c r="B38" s="157">
        <f>2347+1432</f>
        <v>3779</v>
      </c>
      <c r="C38" s="175">
        <f t="shared" ref="C38:C42" si="4">B38/B$43</f>
        <v>4.0238942010775818E-2</v>
      </c>
      <c r="D38" s="78">
        <f>B38/National!B38</f>
        <v>7.9138378029728722E-3</v>
      </c>
      <c r="E38" s="51"/>
      <c r="F38" s="47" t="s">
        <v>1</v>
      </c>
      <c r="G38" s="187">
        <f>SUM(G31:G37)</f>
        <v>1729949</v>
      </c>
      <c r="H38" s="188">
        <f>SUM(H31:H37)</f>
        <v>1</v>
      </c>
      <c r="I38" s="188">
        <f>+G38/National!G39</f>
        <v>8.5947464866782935E-3</v>
      </c>
    </row>
    <row r="39" spans="1:9">
      <c r="A39" s="146" t="s">
        <v>6</v>
      </c>
      <c r="B39" s="157">
        <f>3127+2325</f>
        <v>5452</v>
      </c>
      <c r="C39" s="175">
        <f t="shared" si="4"/>
        <v>5.805311242200311E-2</v>
      </c>
      <c r="D39" s="78">
        <f>B39/National!B39</f>
        <v>9.8645702344011509E-3</v>
      </c>
      <c r="E39" s="51"/>
      <c r="H39" s="87"/>
      <c r="I39" s="87"/>
    </row>
    <row r="40" spans="1:9" ht="23.25">
      <c r="A40" s="146" t="s">
        <v>30</v>
      </c>
      <c r="B40" s="157">
        <f>6459+7582+1880</f>
        <v>15921</v>
      </c>
      <c r="C40" s="175">
        <f t="shared" si="4"/>
        <v>0.16952743999829631</v>
      </c>
      <c r="D40" s="78">
        <f>B40/National!B40</f>
        <v>9.8962328303064291E-3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46859+17565</f>
        <v>64424</v>
      </c>
      <c r="C41" s="175">
        <f t="shared" si="4"/>
        <v>0.68598930936814528</v>
      </c>
      <c r="D41" s="78">
        <f>B41/National!B41</f>
        <v>1.1548408885090249E-2</v>
      </c>
      <c r="E41" s="51"/>
      <c r="F41" s="163" t="s">
        <v>38</v>
      </c>
      <c r="G41" s="168">
        <v>928754</v>
      </c>
      <c r="H41" s="189">
        <f>G41/G$47</f>
        <v>0.57183053324853139</v>
      </c>
      <c r="I41" s="113">
        <f>+G41/National!G42</f>
        <v>1.024120918238243E-2</v>
      </c>
    </row>
    <row r="42" spans="1:9">
      <c r="A42" s="156" t="s">
        <v>29</v>
      </c>
      <c r="B42" s="150">
        <v>81</v>
      </c>
      <c r="C42" s="175">
        <f t="shared" si="4"/>
        <v>8.6249121536725089E-4</v>
      </c>
      <c r="D42" s="78">
        <f>B42/National!B42</f>
        <v>1.5346722243273967E-3</v>
      </c>
      <c r="E42" s="51"/>
      <c r="F42" s="163" t="s">
        <v>39</v>
      </c>
      <c r="G42" s="169">
        <v>304690</v>
      </c>
      <c r="H42" s="86">
        <f t="shared" ref="H42:H46" si="5">G42/G$47</f>
        <v>0.18759654889830357</v>
      </c>
      <c r="I42" s="113">
        <f>+G42/National!G43</f>
        <v>6.8414843414120958E-3</v>
      </c>
    </row>
    <row r="43" spans="1:9">
      <c r="A43" s="9" t="s">
        <v>1</v>
      </c>
      <c r="B43" s="154">
        <f>SUM(B37:B42)</f>
        <v>93914</v>
      </c>
      <c r="C43" s="178">
        <f>SUM(C37:C42)</f>
        <v>1</v>
      </c>
      <c r="D43" s="179">
        <f>B43/National!B43</f>
        <v>1.1069583116109925E-2</v>
      </c>
      <c r="E43" s="51"/>
      <c r="F43" s="163" t="s">
        <v>40</v>
      </c>
      <c r="G43" s="169">
        <v>101390</v>
      </c>
      <c r="H43" s="86">
        <f t="shared" si="5"/>
        <v>6.2425462249496209E-2</v>
      </c>
      <c r="I43" s="113">
        <f>+G43/National!G44</f>
        <v>7.739118653382668E-3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134590</v>
      </c>
      <c r="H44" s="86">
        <f t="shared" si="5"/>
        <v>8.2866584122297013E-2</v>
      </c>
      <c r="I44" s="113">
        <f>+G44/National!G45</f>
        <v>9.1417835681551589E-3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58062</v>
      </c>
      <c r="H45" s="86">
        <f t="shared" si="5"/>
        <v>3.5748566812607248E-2</v>
      </c>
      <c r="I45" s="113">
        <f>+G45/National!G46</f>
        <v>6.9795662984869916E-3</v>
      </c>
    </row>
    <row r="46" spans="1:9">
      <c r="A46" s="8" t="s">
        <v>3</v>
      </c>
      <c r="B46" s="52">
        <v>7842</v>
      </c>
      <c r="C46" s="93">
        <f>B46/B$48</f>
        <v>0.30191730191730193</v>
      </c>
      <c r="D46" s="77">
        <f>B46/National!B48</f>
        <v>7.9178690209588277E-3</v>
      </c>
      <c r="E46" s="51"/>
      <c r="F46" s="163" t="s">
        <v>43</v>
      </c>
      <c r="G46" s="170">
        <v>96691</v>
      </c>
      <c r="H46" s="86">
        <f t="shared" si="5"/>
        <v>5.9532304668764552E-2</v>
      </c>
      <c r="I46" s="113">
        <f>+G46/National!G47</f>
        <v>1.2137926290195245E-2</v>
      </c>
    </row>
    <row r="47" spans="1:9">
      <c r="A47" s="8" t="s">
        <v>2</v>
      </c>
      <c r="B47" s="52">
        <v>18132</v>
      </c>
      <c r="C47" s="97">
        <f>B47/B$48</f>
        <v>0.69808269808269807</v>
      </c>
      <c r="D47" s="78">
        <f>B47/National!B49</f>
        <v>9.1433020471576951E-3</v>
      </c>
      <c r="E47" s="51"/>
      <c r="F47" s="9" t="s">
        <v>1</v>
      </c>
      <c r="G47" s="191">
        <f>SUM(G41:G46)</f>
        <v>1624177</v>
      </c>
      <c r="H47" s="182">
        <f>SUM(H41:H46)</f>
        <v>1</v>
      </c>
      <c r="I47" s="188">
        <f>+G47/National!G49</f>
        <v>8.952609652666017E-3</v>
      </c>
    </row>
    <row r="48" spans="1:9">
      <c r="A48" s="9" t="s">
        <v>1</v>
      </c>
      <c r="B48" s="155">
        <f>SUM(B46:B47)</f>
        <v>25974</v>
      </c>
      <c r="C48" s="165">
        <f>SUM(C46:C47)</f>
        <v>1</v>
      </c>
      <c r="D48" s="177">
        <f>B48/National!B50</f>
        <v>8.7351341462225274E-3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288438</v>
      </c>
      <c r="H50" s="189">
        <f>G50/G$52</f>
        <v>0.86811192473341581</v>
      </c>
      <c r="I50" s="113">
        <f>+G50/National!G52</f>
        <v>9.2030100981752676E-3</v>
      </c>
    </row>
    <row r="51" spans="1:9">
      <c r="A51" s="146" t="s">
        <v>5</v>
      </c>
      <c r="B51" s="149">
        <f>3117+5852</f>
        <v>8969</v>
      </c>
      <c r="C51" s="174">
        <f>B51/B$57</f>
        <v>0.3453068453068453</v>
      </c>
      <c r="D51" s="77">
        <f>B51/National!B53</f>
        <v>1.2467663171532192E-2</v>
      </c>
      <c r="E51" s="51"/>
      <c r="F51" s="163" t="s">
        <v>97</v>
      </c>
      <c r="G51" s="194">
        <v>43821</v>
      </c>
      <c r="H51" s="86">
        <f>G51/G$52</f>
        <v>0.13188807526658419</v>
      </c>
      <c r="I51" s="113">
        <f>+G51/National!G53</f>
        <v>8.6897617627876081E-3</v>
      </c>
    </row>
    <row r="52" spans="1:9">
      <c r="A52" s="146" t="s">
        <v>7</v>
      </c>
      <c r="B52" s="157">
        <f>1578+3105</f>
        <v>4683</v>
      </c>
      <c r="C52" s="175">
        <f t="shared" ref="C52:C56" si="6">B52/B$57</f>
        <v>0.1802956802956803</v>
      </c>
      <c r="D52" s="78">
        <f>B52/National!B54</f>
        <v>6.8378239862630259E-3</v>
      </c>
      <c r="E52" s="51"/>
      <c r="F52" s="60" t="s">
        <v>1</v>
      </c>
      <c r="G52" s="190">
        <f>SUM(G50:G51)</f>
        <v>332259</v>
      </c>
      <c r="H52" s="185">
        <f>SUM(H50:H51)</f>
        <v>1</v>
      </c>
      <c r="I52" s="192">
        <f>+G52/National!G54</f>
        <v>9.131874799657316E-3</v>
      </c>
    </row>
    <row r="53" spans="1:9">
      <c r="A53" s="146" t="s">
        <v>6</v>
      </c>
      <c r="B53" s="157">
        <f>942+3489</f>
        <v>4431</v>
      </c>
      <c r="C53" s="175">
        <f t="shared" si="6"/>
        <v>0.17059367059367059</v>
      </c>
      <c r="D53" s="78">
        <f>B53/National!B55</f>
        <v>8.3760548044642044E-3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977+212+1427</f>
        <v>2616</v>
      </c>
      <c r="C54" s="175">
        <f t="shared" si="6"/>
        <v>0.10071610071610071</v>
      </c>
      <c r="D54" s="78">
        <f>B54/National!B56</f>
        <v>6.2802036744953153E-3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1016+3946</f>
        <v>4962</v>
      </c>
      <c r="C55" s="175">
        <f t="shared" si="6"/>
        <v>0.19103719103719105</v>
      </c>
      <c r="D55" s="78">
        <f>B55/National!B57</f>
        <v>1.2371534997830868E-2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313</v>
      </c>
      <c r="C56" s="175">
        <f t="shared" si="6"/>
        <v>1.205051205051205E-2</v>
      </c>
      <c r="D56" s="78">
        <f>B56/National!B58</f>
        <v>1.4059580278855829E-3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25974</v>
      </c>
      <c r="C57" s="178">
        <f>SUM(C51:C56)</f>
        <v>1</v>
      </c>
      <c r="D57" s="177">
        <f>B57/National!B59</f>
        <v>8.7351341462225274E-3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85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621270</v>
      </c>
      <c r="C4" s="99"/>
      <c r="D4" s="77">
        <f>B4/National!B4</f>
        <v>2.0432498978391494E-3</v>
      </c>
      <c r="E4" s="1"/>
      <c r="F4" s="146" t="s">
        <v>10</v>
      </c>
      <c r="G4" s="195">
        <v>271089</v>
      </c>
      <c r="H4" s="189">
        <f>G4/G$6</f>
        <v>0.50017343493422384</v>
      </c>
      <c r="I4" s="112">
        <f>+G4/National!G4</f>
        <v>2.6162305407424619E-3</v>
      </c>
    </row>
    <row r="5" spans="1:9">
      <c r="A5" s="8" t="s">
        <v>167</v>
      </c>
      <c r="B5" s="50">
        <f>9015+235</f>
        <v>9250</v>
      </c>
      <c r="C5" s="100"/>
      <c r="D5" s="79">
        <f>B5/National!B5</f>
        <v>2.6148846016089034E-3</v>
      </c>
      <c r="E5" s="1"/>
      <c r="F5" s="146" t="s">
        <v>11</v>
      </c>
      <c r="G5" s="196">
        <v>270901</v>
      </c>
      <c r="H5" s="86">
        <f>G5/G$6</f>
        <v>0.49982656506577611</v>
      </c>
      <c r="I5" s="113">
        <f>+G5/National!G5</f>
        <v>2.58734182878013E-3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541990</v>
      </c>
      <c r="H6" s="182">
        <f>SUM(H4:H5)</f>
        <v>1</v>
      </c>
      <c r="I6" s="183">
        <f>+G6/National!G6</f>
        <v>2.6017110040883569E-3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331499</v>
      </c>
      <c r="C8" s="174">
        <f>B8/B10</f>
        <v>0.84442423594023042</v>
      </c>
      <c r="D8" s="77">
        <f>B8/National!B8</f>
        <v>2.4266773920030688E-3</v>
      </c>
      <c r="E8" s="1"/>
      <c r="F8" s="146" t="s">
        <v>32</v>
      </c>
      <c r="G8" s="206">
        <f>21/100</f>
        <v>0.21</v>
      </c>
      <c r="H8" s="87"/>
      <c r="I8" s="87"/>
    </row>
    <row r="9" spans="1:9">
      <c r="A9" s="146" t="s">
        <v>169</v>
      </c>
      <c r="B9" s="150">
        <v>61075</v>
      </c>
      <c r="C9" s="175">
        <f>B9/B10</f>
        <v>0.15557576405976961</v>
      </c>
      <c r="D9" s="78">
        <f>B9/National!B9</f>
        <v>1.5838780996585177E-3</v>
      </c>
      <c r="E9" s="1"/>
      <c r="F9" s="146" t="s">
        <v>31</v>
      </c>
      <c r="G9" s="207">
        <f>27/100</f>
        <v>0.27</v>
      </c>
      <c r="H9" s="87"/>
      <c r="I9" s="87"/>
    </row>
    <row r="10" spans="1:9">
      <c r="A10" s="9" t="s">
        <v>9</v>
      </c>
      <c r="B10" s="152">
        <f>SUM(B8:B9)</f>
        <v>392574</v>
      </c>
      <c r="C10" s="176">
        <f>SUM(C8:C9)</f>
        <v>1</v>
      </c>
      <c r="D10" s="165"/>
      <c r="E10" s="1"/>
      <c r="F10" s="146" t="s">
        <v>33</v>
      </c>
      <c r="G10" s="205">
        <f>20/100</f>
        <v>0.2</v>
      </c>
      <c r="H10" s="87"/>
      <c r="I10" s="87"/>
    </row>
    <row r="11" spans="1:9">
      <c r="A11" s="146" t="s">
        <v>170</v>
      </c>
      <c r="B11" s="149">
        <v>7192</v>
      </c>
      <c r="C11" s="93">
        <f>B11/(B12+B11)</f>
        <v>2.1798431191881965E-2</v>
      </c>
      <c r="D11" s="77">
        <f>B11/National!B11</f>
        <v>1.9069861663956794E-3</v>
      </c>
      <c r="E11" s="1"/>
      <c r="G11" s="49"/>
      <c r="H11" s="87"/>
      <c r="I11" s="86"/>
    </row>
    <row r="12" spans="1:9" ht="23.25">
      <c r="A12" s="146" t="s">
        <v>171</v>
      </c>
      <c r="B12" s="150">
        <v>322740</v>
      </c>
      <c r="C12" s="95">
        <f>B12/(B11+B12)</f>
        <v>0.97820156880811804</v>
      </c>
      <c r="D12" s="79">
        <f>B12/National!B12</f>
        <v>2.4412108339172882E-3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306690</v>
      </c>
      <c r="H13" s="189">
        <f>G13/G$18</f>
        <v>0.50297662976629764</v>
      </c>
      <c r="I13" s="92">
        <f>+G13/National!G13</f>
        <v>2.2373092446567799E-3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272901</v>
      </c>
      <c r="H14" s="86">
        <f>G14/G$18</f>
        <v>0.44756211562115622</v>
      </c>
      <c r="I14" s="106">
        <f>+G14/National!G14</f>
        <v>2.4754814170082659E-3</v>
      </c>
    </row>
    <row r="15" spans="1:9">
      <c r="A15" s="146" t="s">
        <v>3</v>
      </c>
      <c r="B15" s="149">
        <v>12965</v>
      </c>
      <c r="C15" s="174">
        <f>B15/B$17</f>
        <v>0.89891146086112461</v>
      </c>
      <c r="D15" s="77">
        <f>B15/National!B15</f>
        <v>4.3547219091047105E-3</v>
      </c>
      <c r="E15" s="3"/>
      <c r="F15" s="146" t="s">
        <v>13</v>
      </c>
      <c r="G15" s="150">
        <v>1875</v>
      </c>
      <c r="H15" s="86">
        <f>G15/G$18</f>
        <v>3.0750307503075031E-3</v>
      </c>
      <c r="I15" s="106">
        <f>+G15/National!G15</f>
        <v>2.2233869475921015E-3</v>
      </c>
    </row>
    <row r="16" spans="1:9">
      <c r="A16" s="146" t="s">
        <v>2</v>
      </c>
      <c r="B16" s="150">
        <v>1458</v>
      </c>
      <c r="C16" s="175">
        <f>B16/B$17</f>
        <v>0.1010885391388754</v>
      </c>
      <c r="D16" s="78">
        <f>B16/National!B16</f>
        <v>1.3683202883045217E-3</v>
      </c>
      <c r="E16" s="1"/>
      <c r="F16" s="9" t="s">
        <v>1</v>
      </c>
      <c r="G16" s="162">
        <v>581466</v>
      </c>
      <c r="H16" s="105"/>
      <c r="I16" s="106"/>
    </row>
    <row r="17" spans="1:9">
      <c r="A17" s="9" t="s">
        <v>1</v>
      </c>
      <c r="B17" s="154">
        <f>SUM(B15:B16)</f>
        <v>14423</v>
      </c>
      <c r="C17" s="176">
        <f>SUM(C15:C16)</f>
        <v>1</v>
      </c>
      <c r="D17" s="177">
        <f>B17/National!B17</f>
        <v>3.5676051655697287E-3</v>
      </c>
      <c r="E17" s="1"/>
      <c r="F17" s="108" t="s">
        <v>35</v>
      </c>
      <c r="G17" s="117">
        <v>28284</v>
      </c>
      <c r="H17" s="105">
        <f>G17/G$18</f>
        <v>4.6386223862238625E-2</v>
      </c>
      <c r="I17" s="106">
        <f>+G17/National!G17</f>
        <v>3.6701657206210268E-3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609750</v>
      </c>
      <c r="H18" s="185">
        <f>SUM(H13:H17)</f>
        <v>1</v>
      </c>
      <c r="I18" s="186">
        <f>+G18/National!G18</f>
        <v>2.3830348833082044E-3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280+40</f>
        <v>320</v>
      </c>
      <c r="C20" s="174">
        <f>B20/B$26</f>
        <v>2.2189862006795645E-2</v>
      </c>
      <c r="D20" s="77">
        <f>B20/National!B20</f>
        <v>6.8447733738315761E-3</v>
      </c>
      <c r="E20" s="51"/>
      <c r="F20" s="163" t="s">
        <v>3</v>
      </c>
      <c r="G20" s="108">
        <f>46+14</f>
        <v>60</v>
      </c>
      <c r="H20" s="189">
        <f>G20/G$23</f>
        <v>0.82191780821917804</v>
      </c>
      <c r="I20" s="92">
        <f>+G20/National!G20</f>
        <v>2.8836449271879656E-3</v>
      </c>
    </row>
    <row r="21" spans="1:9">
      <c r="A21" s="146" t="s">
        <v>7</v>
      </c>
      <c r="B21" s="157">
        <f>320+103</f>
        <v>423</v>
      </c>
      <c r="C21" s="175">
        <f t="shared" ref="C21:C25" si="0">B21/B$26</f>
        <v>2.9332223840232992E-2</v>
      </c>
      <c r="D21" s="78">
        <f>B21/National!B21</f>
        <v>2.6519378581369981E-3</v>
      </c>
      <c r="E21" s="51"/>
      <c r="F21" s="163" t="s">
        <v>2</v>
      </c>
      <c r="G21" s="198">
        <f>13+0</f>
        <v>13</v>
      </c>
      <c r="H21" s="86">
        <f t="shared" ref="H21:H22" si="1">G21/G$23</f>
        <v>0.17808219178082191</v>
      </c>
      <c r="I21" s="106">
        <f>+G21/National!G21</f>
        <v>8.147405364753071E-4</v>
      </c>
    </row>
    <row r="22" spans="1:9">
      <c r="A22" s="146" t="s">
        <v>6</v>
      </c>
      <c r="B22" s="157">
        <f>727+152</f>
        <v>879</v>
      </c>
      <c r="C22" s="175">
        <f t="shared" si="0"/>
        <v>6.0952777199916791E-2</v>
      </c>
      <c r="D22" s="78">
        <f>B22/National!B22</f>
        <v>3.6443541532784674E-3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2008+216+889</f>
        <v>3113</v>
      </c>
      <c r="C23" s="175">
        <f t="shared" si="0"/>
        <v>0.21586575133485889</v>
      </c>
      <c r="D23" s="78">
        <f>B23/National!B23</f>
        <v>3.9172655397659711E-3</v>
      </c>
      <c r="E23" s="51"/>
      <c r="F23" s="9" t="s">
        <v>1</v>
      </c>
      <c r="G23" s="197">
        <f>SUM(G20:G22)</f>
        <v>73</v>
      </c>
      <c r="H23" s="132">
        <f>SUM(H20:H22)</f>
        <v>1</v>
      </c>
      <c r="I23" s="133">
        <f>+G23/National!G23</f>
        <v>1.9591530017981267E-3</v>
      </c>
    </row>
    <row r="24" spans="1:9">
      <c r="A24" s="146" t="s">
        <v>8</v>
      </c>
      <c r="B24" s="157">
        <f>8741+925</f>
        <v>9666</v>
      </c>
      <c r="C24" s="175">
        <f t="shared" si="0"/>
        <v>0.67027251924277098</v>
      </c>
      <c r="D24" s="78">
        <f>B24/National!B24</f>
        <v>3.465380611077172E-3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20</v>
      </c>
      <c r="C25" s="175">
        <f t="shared" si="0"/>
        <v>1.3868663754247278E-3</v>
      </c>
      <c r="D25" s="78">
        <f>B25/National!B25</f>
        <v>1.7644464049404499E-3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14421</v>
      </c>
      <c r="C26" s="176">
        <f>SUM(C20:C25)</f>
        <v>1</v>
      </c>
      <c r="D26" s="177">
        <f>B26/National!B26</f>
        <v>3.5671016316008446E-3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390582</v>
      </c>
      <c r="H27" s="87"/>
      <c r="I27" s="113">
        <f>+G27/National!G27</f>
        <v>2.8286810948314357E-3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395224</v>
      </c>
      <c r="H28" s="87"/>
      <c r="I28" s="114">
        <f>+G28/National!G28</f>
        <v>2.9720411528707837E-3</v>
      </c>
    </row>
    <row r="29" spans="1:9">
      <c r="A29" s="146" t="s">
        <v>91</v>
      </c>
      <c r="B29" s="149">
        <f>2451+178</f>
        <v>2629</v>
      </c>
      <c r="C29" s="174">
        <f>B29/B$34</f>
        <v>0.18230358504958047</v>
      </c>
      <c r="D29" s="77">
        <f>B29/National!B29</f>
        <v>3.3716669680518845E-3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0</f>
        <v>0</v>
      </c>
      <c r="C30" s="175">
        <f t="shared" ref="C30:C33" si="2">B30/B$34</f>
        <v>0</v>
      </c>
      <c r="D30" s="78">
        <f>B30/National!B30</f>
        <v>0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10162+1253</f>
        <v>11415</v>
      </c>
      <c r="C31" s="175">
        <f t="shared" si="2"/>
        <v>0.79155398377366337</v>
      </c>
      <c r="D31" s="78">
        <f>B31/National!B31</f>
        <v>8.87332483442679E-3</v>
      </c>
      <c r="E31" s="51"/>
      <c r="F31" s="163" t="s">
        <v>16</v>
      </c>
      <c r="G31" s="168">
        <v>165981</v>
      </c>
      <c r="H31" s="92">
        <f>G31/G$38</f>
        <v>0.33832659999918469</v>
      </c>
      <c r="I31" s="112">
        <f>+G31/National!G31</f>
        <v>3.9293045712559867E-3</v>
      </c>
    </row>
    <row r="32" spans="1:9">
      <c r="A32" s="146" t="s">
        <v>94</v>
      </c>
      <c r="B32" s="157">
        <f>210+0</f>
        <v>210</v>
      </c>
      <c r="C32" s="175">
        <f t="shared" si="2"/>
        <v>1.4562096941959642E-2</v>
      </c>
      <c r="D32" s="78">
        <f>B32/National!B32</f>
        <v>3.6831120542995949E-3</v>
      </c>
      <c r="E32" s="51"/>
      <c r="F32" s="163" t="s">
        <v>17</v>
      </c>
      <c r="G32" s="169">
        <v>150726</v>
      </c>
      <c r="H32" s="106">
        <f t="shared" ref="H32:H37" si="3">G32/G$38</f>
        <v>0.30723164164258021</v>
      </c>
      <c r="I32" s="113">
        <f>+G32/National!G32</f>
        <v>2.4227711750121933E-3</v>
      </c>
    </row>
    <row r="33" spans="1:9">
      <c r="A33" s="146" t="s">
        <v>95</v>
      </c>
      <c r="B33" s="150">
        <f>142+25</f>
        <v>167</v>
      </c>
      <c r="C33" s="175">
        <f t="shared" si="2"/>
        <v>1.1580334234796477E-2</v>
      </c>
      <c r="D33" s="78">
        <f>B33/National!B33</f>
        <v>1.269653012194751E-3</v>
      </c>
      <c r="E33" s="51"/>
      <c r="F33" s="163" t="s">
        <v>18</v>
      </c>
      <c r="G33" s="169">
        <v>36771</v>
      </c>
      <c r="H33" s="106">
        <f t="shared" si="3"/>
        <v>7.4951996966942117E-2</v>
      </c>
      <c r="I33" s="113">
        <f>+G33/National!G33</f>
        <v>1.1575100416852824E-3</v>
      </c>
    </row>
    <row r="34" spans="1:9">
      <c r="A34" s="9" t="s">
        <v>1</v>
      </c>
      <c r="B34" s="154">
        <f>SUM(B29:B33)</f>
        <v>14421</v>
      </c>
      <c r="C34" s="176">
        <f>SUM(C29:C33)</f>
        <v>0.99999999999999989</v>
      </c>
      <c r="D34" s="180">
        <f>B34/National!B34</f>
        <v>3.5671104550149798E-3</v>
      </c>
      <c r="E34" s="51"/>
      <c r="F34" s="163" t="s">
        <v>19</v>
      </c>
      <c r="G34" s="169">
        <v>102588</v>
      </c>
      <c r="H34" s="106">
        <f t="shared" si="3"/>
        <v>0.20910977305062842</v>
      </c>
      <c r="I34" s="113">
        <f>+G34/National!G34</f>
        <v>1.1945566558561781E-2</v>
      </c>
    </row>
    <row r="35" spans="1:9">
      <c r="B35" s="49"/>
      <c r="C35" s="96"/>
      <c r="D35" s="96"/>
      <c r="E35" s="51"/>
      <c r="F35" s="163" t="s">
        <v>20</v>
      </c>
      <c r="G35" s="169">
        <v>670</v>
      </c>
      <c r="H35" s="106">
        <f t="shared" si="3"/>
        <v>1.3656913863602082E-3</v>
      </c>
      <c r="I35" s="113">
        <f>+G35/National!G35</f>
        <v>5.0254810641748684E-5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27216</v>
      </c>
      <c r="H36" s="106">
        <f t="shared" si="3"/>
        <v>5.5475607121163326E-2</v>
      </c>
      <c r="I36" s="113">
        <f>+G36/National!G36</f>
        <v>1.7202918908552668E-3</v>
      </c>
    </row>
    <row r="37" spans="1:9">
      <c r="A37" s="146" t="s">
        <v>5</v>
      </c>
      <c r="B37" s="149">
        <f>1119+161</f>
        <v>1280</v>
      </c>
      <c r="C37" s="174">
        <f>B37/B$43</f>
        <v>4.3183428359367095E-2</v>
      </c>
      <c r="D37" s="77">
        <f>B37/National!B37</f>
        <v>5.9928460400397029E-3</v>
      </c>
      <c r="E37" s="51"/>
      <c r="F37" s="163" t="s">
        <v>22</v>
      </c>
      <c r="G37" s="170">
        <v>6642</v>
      </c>
      <c r="H37" s="106">
        <f t="shared" si="3"/>
        <v>1.3538689833141049E-2</v>
      </c>
      <c r="I37" s="114">
        <f>+G37/National!G37</f>
        <v>2.5888512496819967E-4</v>
      </c>
    </row>
    <row r="38" spans="1:9">
      <c r="A38" s="146" t="s">
        <v>7</v>
      </c>
      <c r="B38" s="157">
        <f>726+240</f>
        <v>966</v>
      </c>
      <c r="C38" s="175">
        <f t="shared" ref="C38:C42" si="4">B38/B$43</f>
        <v>3.2589993589959849E-2</v>
      </c>
      <c r="D38" s="78">
        <f>B38/National!B38</f>
        <v>2.0229603910219092E-3</v>
      </c>
      <c r="E38" s="51"/>
      <c r="F38" s="47" t="s">
        <v>1</v>
      </c>
      <c r="G38" s="187">
        <f>SUM(G31:G37)</f>
        <v>490594</v>
      </c>
      <c r="H38" s="188">
        <f>SUM(H31:H37)</f>
        <v>1</v>
      </c>
      <c r="I38" s="188">
        <f>+G38/National!G39</f>
        <v>2.4373730427229073E-3</v>
      </c>
    </row>
    <row r="39" spans="1:9">
      <c r="A39" s="146" t="s">
        <v>6</v>
      </c>
      <c r="B39" s="157">
        <f>1469+307</f>
        <v>1776</v>
      </c>
      <c r="C39" s="175">
        <f t="shared" si="4"/>
        <v>5.9917006848621841E-2</v>
      </c>
      <c r="D39" s="78">
        <f>B39/National!B39</f>
        <v>3.2134036566941388E-3</v>
      </c>
      <c r="E39" s="51"/>
      <c r="H39" s="87"/>
      <c r="I39" s="87"/>
    </row>
    <row r="40" spans="1:9" ht="23.25">
      <c r="A40" s="146" t="s">
        <v>30</v>
      </c>
      <c r="B40" s="157">
        <f>4022+434+1778</f>
        <v>6234</v>
      </c>
      <c r="C40" s="175">
        <f t="shared" si="4"/>
        <v>0.21031679093148004</v>
      </c>
      <c r="D40" s="78">
        <f>B40/National!B40</f>
        <v>3.8749522934570864E-3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17482+1850</f>
        <v>19332</v>
      </c>
      <c r="C41" s="175">
        <f t="shared" si="4"/>
        <v>0.65220471644006617</v>
      </c>
      <c r="D41" s="78">
        <f>B41/National!B41</f>
        <v>3.4653830958426158E-3</v>
      </c>
      <c r="E41" s="51"/>
      <c r="F41" s="163" t="s">
        <v>38</v>
      </c>
      <c r="G41" s="168">
        <v>225034</v>
      </c>
      <c r="H41" s="189">
        <f>G41/G$47</f>
        <v>0.47043599692276816</v>
      </c>
      <c r="I41" s="113">
        <f>+G41/National!G42</f>
        <v>2.4814108656848292E-3</v>
      </c>
    </row>
    <row r="42" spans="1:9">
      <c r="A42" s="156" t="s">
        <v>29</v>
      </c>
      <c r="B42" s="150">
        <v>53</v>
      </c>
      <c r="C42" s="175">
        <f t="shared" si="4"/>
        <v>1.7880638305050438E-3</v>
      </c>
      <c r="D42" s="78">
        <f>B42/National!B42</f>
        <v>1.004168245547556E-3</v>
      </c>
      <c r="E42" s="51"/>
      <c r="F42" s="163" t="s">
        <v>39</v>
      </c>
      <c r="G42" s="169">
        <v>155020</v>
      </c>
      <c r="H42" s="86">
        <f t="shared" ref="H42:H46" si="5">G42/G$47</f>
        <v>0.32407097702110582</v>
      </c>
      <c r="I42" s="113">
        <f>+G42/National!G43</f>
        <v>3.4808064019354198E-3</v>
      </c>
    </row>
    <row r="43" spans="1:9">
      <c r="A43" s="9" t="s">
        <v>1</v>
      </c>
      <c r="B43" s="154">
        <f>SUM(B37:B42)</f>
        <v>29641</v>
      </c>
      <c r="C43" s="178">
        <f>SUM(C37:C42)</f>
        <v>1</v>
      </c>
      <c r="D43" s="179">
        <f>B43/National!B43</f>
        <v>3.4937657127224299E-3</v>
      </c>
      <c r="E43" s="51"/>
      <c r="F43" s="163" t="s">
        <v>40</v>
      </c>
      <c r="G43" s="169">
        <v>45951</v>
      </c>
      <c r="H43" s="86">
        <f t="shared" si="5"/>
        <v>9.6061059638090779E-2</v>
      </c>
      <c r="I43" s="113">
        <f>+G43/National!G44</f>
        <v>3.5074488730800569E-3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47018</v>
      </c>
      <c r="H44" s="86">
        <f t="shared" si="5"/>
        <v>9.8291634612168444E-2</v>
      </c>
      <c r="I44" s="113">
        <f>+G44/National!G45</f>
        <v>3.193613045601599E-3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971</v>
      </c>
      <c r="H45" s="86">
        <f t="shared" si="5"/>
        <v>2.0298859417332842E-3</v>
      </c>
      <c r="I45" s="113">
        <f>+G45/National!G46</f>
        <v>1.1672279418261287E-4</v>
      </c>
    </row>
    <row r="46" spans="1:9">
      <c r="A46" s="8" t="s">
        <v>3</v>
      </c>
      <c r="B46" s="52">
        <v>5437</v>
      </c>
      <c r="C46" s="93">
        <f>B46/B$48</f>
        <v>0.74357221006564556</v>
      </c>
      <c r="D46" s="77">
        <f>B46/National!B48</f>
        <v>5.4896013602337597E-3</v>
      </c>
      <c r="E46" s="51"/>
      <c r="F46" s="163" t="s">
        <v>43</v>
      </c>
      <c r="G46" s="170">
        <v>4358</v>
      </c>
      <c r="H46" s="86">
        <f t="shared" si="5"/>
        <v>9.1104458641335252E-3</v>
      </c>
      <c r="I46" s="113">
        <f>+G46/National!G47</f>
        <v>5.4707348949406748E-4</v>
      </c>
    </row>
    <row r="47" spans="1:9">
      <c r="A47" s="8" t="s">
        <v>2</v>
      </c>
      <c r="B47" s="52">
        <v>1875</v>
      </c>
      <c r="C47" s="97">
        <f>B47/B$48</f>
        <v>0.2564277899343545</v>
      </c>
      <c r="D47" s="78">
        <f>B47/National!B49</f>
        <v>9.4549367628616134E-4</v>
      </c>
      <c r="E47" s="51"/>
      <c r="F47" s="9" t="s">
        <v>1</v>
      </c>
      <c r="G47" s="191">
        <f>SUM(G41:G46)</f>
        <v>478352</v>
      </c>
      <c r="H47" s="182">
        <f>SUM(H41:H46)</f>
        <v>0.99999999999999989</v>
      </c>
      <c r="I47" s="188">
        <f>+G47/National!G49</f>
        <v>2.636719232307867E-3</v>
      </c>
    </row>
    <row r="48" spans="1:9">
      <c r="A48" s="9" t="s">
        <v>1</v>
      </c>
      <c r="B48" s="155">
        <f>SUM(B46:B47)</f>
        <v>7312</v>
      </c>
      <c r="C48" s="165">
        <f>SUM(C46:C47)</f>
        <v>1</v>
      </c>
      <c r="D48" s="177">
        <f>B48/National!B50</f>
        <v>2.4590475428189389E-3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68165</v>
      </c>
      <c r="H50" s="189">
        <f>G50/G$52</f>
        <v>0.85595710482696263</v>
      </c>
      <c r="I50" s="113">
        <f>+G50/National!G52</f>
        <v>2.1748978405831312E-3</v>
      </c>
    </row>
    <row r="51" spans="1:9">
      <c r="A51" s="146" t="s">
        <v>5</v>
      </c>
      <c r="B51" s="149">
        <f>1216+371</f>
        <v>1587</v>
      </c>
      <c r="C51" s="174">
        <f>B51/B$57</f>
        <v>0.21704048140043763</v>
      </c>
      <c r="D51" s="77">
        <f>B51/National!B53</f>
        <v>2.2060632682820371E-3</v>
      </c>
      <c r="E51" s="51"/>
      <c r="F51" s="163" t="s">
        <v>97</v>
      </c>
      <c r="G51" s="194">
        <v>11471</v>
      </c>
      <c r="H51" s="86">
        <f>G51/G$52</f>
        <v>0.14404289517303731</v>
      </c>
      <c r="I51" s="113">
        <f>+G51/National!G53</f>
        <v>2.2747143420035294E-3</v>
      </c>
    </row>
    <row r="52" spans="1:9">
      <c r="A52" s="146" t="s">
        <v>7</v>
      </c>
      <c r="B52" s="157">
        <f>702+439</f>
        <v>1141</v>
      </c>
      <c r="C52" s="175">
        <f t="shared" ref="C52:C56" si="6">B52/B$57</f>
        <v>0.15604485776805252</v>
      </c>
      <c r="D52" s="78">
        <f>B52/National!B54</f>
        <v>1.6660169054721573E-3</v>
      </c>
      <c r="E52" s="51"/>
      <c r="F52" s="60" t="s">
        <v>1</v>
      </c>
      <c r="G52" s="190">
        <f>SUM(G50:G51)</f>
        <v>79636</v>
      </c>
      <c r="H52" s="185">
        <f>SUM(H50:H51)</f>
        <v>1</v>
      </c>
      <c r="I52" s="192">
        <f>+G52/National!G54</f>
        <v>2.1887322286093377E-3</v>
      </c>
    </row>
    <row r="53" spans="1:9">
      <c r="A53" s="146" t="s">
        <v>6</v>
      </c>
      <c r="B53" s="157">
        <f>910+363</f>
        <v>1273</v>
      </c>
      <c r="C53" s="175">
        <f t="shared" si="6"/>
        <v>0.17409737417943108</v>
      </c>
      <c r="D53" s="78">
        <f>B53/National!B55</f>
        <v>2.4063908296282853E-3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1345+218+235</f>
        <v>1798</v>
      </c>
      <c r="C54" s="175">
        <f t="shared" si="6"/>
        <v>0.24589715536105033</v>
      </c>
      <c r="D54" s="78">
        <f>B54/National!B56</f>
        <v>4.3164396814765202E-3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1046+395</f>
        <v>1441</v>
      </c>
      <c r="C55" s="175">
        <f t="shared" si="6"/>
        <v>0.19707330415754923</v>
      </c>
      <c r="D55" s="78">
        <f>B55/National!B57</f>
        <v>3.5927815259722451E-3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72</v>
      </c>
      <c r="C56" s="175">
        <f t="shared" si="6"/>
        <v>9.8468271334792128E-3</v>
      </c>
      <c r="D56" s="78">
        <f>B56/National!B58</f>
        <v>3.2341526520051749E-4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7312</v>
      </c>
      <c r="C57" s="178">
        <f>SUM(C51:C56)</f>
        <v>0.99999999999999989</v>
      </c>
      <c r="D57" s="177">
        <f>B57/National!B59</f>
        <v>2.4590475428189389E-3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86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7769089</v>
      </c>
      <c r="C4" s="99"/>
      <c r="D4" s="77">
        <f>B4/National!B4</f>
        <v>2.5551194014765338E-2</v>
      </c>
      <c r="E4" s="1"/>
      <c r="F4" s="146" t="s">
        <v>10</v>
      </c>
      <c r="G4" s="195">
        <v>2576258</v>
      </c>
      <c r="H4" s="189">
        <f>G4/G$6</f>
        <v>0.48597803282362312</v>
      </c>
      <c r="I4" s="112">
        <f>+G4/National!G4</f>
        <v>2.4862996508276222E-2</v>
      </c>
    </row>
    <row r="5" spans="1:9">
      <c r="A5" s="8" t="s">
        <v>167</v>
      </c>
      <c r="B5" s="50">
        <f>35482+4112</f>
        <v>39594</v>
      </c>
      <c r="C5" s="100"/>
      <c r="D5" s="79">
        <f>B5/National!B5</f>
        <v>1.119283685579491E-2</v>
      </c>
      <c r="E5" s="1"/>
      <c r="F5" s="146" t="s">
        <v>11</v>
      </c>
      <c r="G5" s="196">
        <v>2724924</v>
      </c>
      <c r="H5" s="86">
        <f>G5/G$6</f>
        <v>0.51402196717637694</v>
      </c>
      <c r="I5" s="113">
        <f>+G5/National!G5</f>
        <v>2.6025410926673827E-2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5301182</v>
      </c>
      <c r="H6" s="182">
        <f>SUM(H4:H5)</f>
        <v>1</v>
      </c>
      <c r="I6" s="183">
        <f>+G6/National!G6</f>
        <v>2.544722881247832E-2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3955444</v>
      </c>
      <c r="C8" s="174">
        <f>B8/B10</f>
        <v>0.79220612752225739</v>
      </c>
      <c r="D8" s="77">
        <f>B8/National!B8</f>
        <v>2.8955099502967388E-2</v>
      </c>
      <c r="E8" s="1"/>
      <c r="F8" s="146" t="s">
        <v>32</v>
      </c>
      <c r="G8" s="206">
        <f>17.5/100</f>
        <v>0.17499999999999999</v>
      </c>
      <c r="H8" s="87"/>
      <c r="I8" s="87"/>
    </row>
    <row r="9" spans="1:9">
      <c r="A9" s="146" t="s">
        <v>169</v>
      </c>
      <c r="B9" s="150">
        <v>1037504</v>
      </c>
      <c r="C9" s="175">
        <f>B9/B10</f>
        <v>0.20779387247774261</v>
      </c>
      <c r="D9" s="78">
        <f>B9/National!B9</f>
        <v>2.6905933097144671E-2</v>
      </c>
      <c r="E9" s="1"/>
      <c r="F9" s="146" t="s">
        <v>31</v>
      </c>
      <c r="G9" s="207">
        <f>17.5/100</f>
        <v>0.17499999999999999</v>
      </c>
      <c r="H9" s="87"/>
      <c r="I9" s="87"/>
    </row>
    <row r="10" spans="1:9">
      <c r="A10" s="9" t="s">
        <v>9</v>
      </c>
      <c r="B10" s="152">
        <f>SUM(B8:B9)</f>
        <v>4992948</v>
      </c>
      <c r="C10" s="176">
        <f>SUM(C8:C9)</f>
        <v>1</v>
      </c>
      <c r="D10" s="165"/>
      <c r="E10" s="1"/>
      <c r="F10" s="146" t="s">
        <v>33</v>
      </c>
      <c r="G10" s="205">
        <f>17.5/100</f>
        <v>0.17499999999999999</v>
      </c>
      <c r="H10" s="87"/>
      <c r="I10" s="87"/>
    </row>
    <row r="11" spans="1:9">
      <c r="A11" s="146" t="s">
        <v>170</v>
      </c>
      <c r="B11" s="149">
        <v>73151</v>
      </c>
      <c r="C11" s="93">
        <f>B11/(B12+B11)</f>
        <v>1.8536420718037655E-2</v>
      </c>
      <c r="D11" s="77">
        <f>B11/National!B11</f>
        <v>1.9396265998054833E-2</v>
      </c>
      <c r="E11" s="1"/>
      <c r="G11" s="49"/>
      <c r="H11" s="87"/>
      <c r="I11" s="86"/>
    </row>
    <row r="12" spans="1:9" ht="23.25">
      <c r="A12" s="146" t="s">
        <v>171</v>
      </c>
      <c r="B12" s="150">
        <v>3873188</v>
      </c>
      <c r="C12" s="95">
        <f>B12/(B11+B12)</f>
        <v>0.98146357928196237</v>
      </c>
      <c r="D12" s="79">
        <f>B12/National!B12</f>
        <v>2.9296859724231371E-2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3881087</v>
      </c>
      <c r="H13" s="189">
        <f>G13/G$18</f>
        <v>0.58728259795528548</v>
      </c>
      <c r="I13" s="92">
        <f>+G13/National!G13</f>
        <v>2.8312601729489871E-2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2627520</v>
      </c>
      <c r="H14" s="86">
        <f>G14/G$18</f>
        <v>0.39759396575739525</v>
      </c>
      <c r="I14" s="106">
        <f>+G14/National!G14</f>
        <v>2.3834199701787673E-2</v>
      </c>
    </row>
    <row r="15" spans="1:9">
      <c r="A15" s="146" t="s">
        <v>3</v>
      </c>
      <c r="B15" s="149">
        <v>50334</v>
      </c>
      <c r="C15" s="174">
        <f>B15/B$17</f>
        <v>0.68108195878381117</v>
      </c>
      <c r="D15" s="77">
        <f>B15/National!B15</f>
        <v>1.6906330318000502E-2</v>
      </c>
      <c r="E15" s="3"/>
      <c r="F15" s="146" t="s">
        <v>13</v>
      </c>
      <c r="G15" s="150">
        <v>17341</v>
      </c>
      <c r="H15" s="86">
        <f>G15/G$18</f>
        <v>2.6240245403266163E-3</v>
      </c>
      <c r="I15" s="106">
        <f>+G15/National!G15</f>
        <v>2.0563068297703803E-2</v>
      </c>
    </row>
    <row r="16" spans="1:9">
      <c r="A16" s="146" t="s">
        <v>2</v>
      </c>
      <c r="B16" s="150">
        <v>23569</v>
      </c>
      <c r="C16" s="175">
        <f>B16/B$17</f>
        <v>0.31891804121618877</v>
      </c>
      <c r="D16" s="78">
        <f>B16/National!B16</f>
        <v>2.2119301011693602E-2</v>
      </c>
      <c r="E16" s="1"/>
      <c r="F16" s="9" t="s">
        <v>1</v>
      </c>
      <c r="G16" s="162">
        <v>6525948</v>
      </c>
      <c r="H16" s="105"/>
      <c r="I16" s="106"/>
    </row>
    <row r="17" spans="1:9">
      <c r="A17" s="9" t="s">
        <v>1</v>
      </c>
      <c r="B17" s="154">
        <f>SUM(B15:B16)</f>
        <v>73903</v>
      </c>
      <c r="C17" s="176">
        <f>SUM(C15:C16)</f>
        <v>1</v>
      </c>
      <c r="D17" s="177">
        <f>B17/National!B17</f>
        <v>1.8280297063793916E-2</v>
      </c>
      <c r="E17" s="1"/>
      <c r="F17" s="108" t="s">
        <v>35</v>
      </c>
      <c r="G17" s="117">
        <v>82603</v>
      </c>
      <c r="H17" s="105">
        <f>G17/G$18</f>
        <v>1.2499411746992647E-2</v>
      </c>
      <c r="I17" s="106">
        <f>+G17/National!G17</f>
        <v>1.0718664227848207E-2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6608551</v>
      </c>
      <c r="H18" s="185">
        <f>SUM(H13:H17)</f>
        <v>1</v>
      </c>
      <c r="I18" s="186">
        <f>+G18/National!G18</f>
        <v>2.5827646676705729E-2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667+452</f>
        <v>1119</v>
      </c>
      <c r="C20" s="174">
        <f>B20/B$26</f>
        <v>1.5141674108955103E-2</v>
      </c>
      <c r="D20" s="77">
        <f>B20/National!B20</f>
        <v>2.3935316891617292E-2</v>
      </c>
      <c r="E20" s="51"/>
      <c r="F20" s="163" t="s">
        <v>3</v>
      </c>
      <c r="G20" s="108">
        <f>366+113</f>
        <v>479</v>
      </c>
      <c r="H20" s="189">
        <f>G20/G$23</f>
        <v>0.5813106796116505</v>
      </c>
      <c r="I20" s="92">
        <f>+G20/National!G20</f>
        <v>2.3021098668717259E-2</v>
      </c>
    </row>
    <row r="21" spans="1:9">
      <c r="A21" s="146" t="s">
        <v>7</v>
      </c>
      <c r="B21" s="157">
        <f>1373+1284</f>
        <v>2657</v>
      </c>
      <c r="C21" s="175">
        <f t="shared" ref="C21:C25" si="0">B21/B$26</f>
        <v>3.5953018862818327E-2</v>
      </c>
      <c r="D21" s="78">
        <f>B21/National!B21</f>
        <v>1.6657680588817975E-2</v>
      </c>
      <c r="E21" s="51"/>
      <c r="F21" s="163" t="s">
        <v>2</v>
      </c>
      <c r="G21" s="198">
        <f>297+42</f>
        <v>339</v>
      </c>
      <c r="H21" s="86">
        <f t="shared" ref="H21:H22" si="1">G21/G$23</f>
        <v>0.41140776699029125</v>
      </c>
      <c r="I21" s="106">
        <f>+G21/National!G21</f>
        <v>2.1245926297317624E-2</v>
      </c>
    </row>
    <row r="22" spans="1:9">
      <c r="A22" s="146" t="s">
        <v>6</v>
      </c>
      <c r="B22" s="157">
        <f>3443+2235</f>
        <v>5678</v>
      </c>
      <c r="C22" s="175">
        <f t="shared" si="0"/>
        <v>7.6831479526941082E-2</v>
      </c>
      <c r="D22" s="78">
        <f>B22/National!B22</f>
        <v>2.3541118182383549E-2</v>
      </c>
      <c r="E22" s="51"/>
      <c r="F22" s="163" t="s">
        <v>28</v>
      </c>
      <c r="G22" s="181">
        <v>6</v>
      </c>
      <c r="H22" s="86">
        <f t="shared" si="1"/>
        <v>7.2815533980582527E-3</v>
      </c>
      <c r="I22" s="106">
        <f>+G22/National!G22</f>
        <v>1.2048192771084338E-2</v>
      </c>
    </row>
    <row r="23" spans="1:9">
      <c r="A23" s="146" t="s">
        <v>30</v>
      </c>
      <c r="B23" s="157">
        <f>9276+2437+2356</f>
        <v>14069</v>
      </c>
      <c r="C23" s="175">
        <f t="shared" si="0"/>
        <v>0.19037373819382425</v>
      </c>
      <c r="D23" s="78">
        <f>B23/National!B23</f>
        <v>1.7703825531309812E-2</v>
      </c>
      <c r="E23" s="51"/>
      <c r="F23" s="9" t="s">
        <v>1</v>
      </c>
      <c r="G23" s="197">
        <f>SUM(G20:G22)</f>
        <v>824</v>
      </c>
      <c r="H23" s="132">
        <f>SUM(H20:H22)</f>
        <v>1</v>
      </c>
      <c r="I23" s="133">
        <f>+G23/National!G23</f>
        <v>2.2114274979200772E-2</v>
      </c>
    </row>
    <row r="24" spans="1:9">
      <c r="A24" s="146" t="s">
        <v>8</v>
      </c>
      <c r="B24" s="157">
        <f>33138+16952</f>
        <v>50090</v>
      </c>
      <c r="C24" s="175">
        <f t="shared" si="0"/>
        <v>0.67778950502016189</v>
      </c>
      <c r="D24" s="78">
        <f>B24/National!B24</f>
        <v>1.7957884834352941E-2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289</v>
      </c>
      <c r="C25" s="175">
        <f t="shared" si="0"/>
        <v>3.9105842872993969E-3</v>
      </c>
      <c r="D25" s="78">
        <f>B25/National!B25</f>
        <v>2.5496250551389502E-2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73902</v>
      </c>
      <c r="C26" s="176">
        <f>SUM(C20:C25)</f>
        <v>1</v>
      </c>
      <c r="D26" s="177">
        <f>B26/National!B26</f>
        <v>1.8280004491960725E-2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3707812</v>
      </c>
      <c r="H27" s="87"/>
      <c r="I27" s="113">
        <f>+G27/National!G27</f>
        <v>2.6852793286913208E-2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3798151</v>
      </c>
      <c r="H28" s="87"/>
      <c r="I28" s="114">
        <f>+G28/National!G28</f>
        <v>2.856167914098668E-2</v>
      </c>
    </row>
    <row r="29" spans="1:9">
      <c r="A29" s="146" t="s">
        <v>91</v>
      </c>
      <c r="B29" s="149">
        <f>47627+10290</f>
        <v>57917</v>
      </c>
      <c r="C29" s="174">
        <f>B29/B$34</f>
        <v>0.78370003518172715</v>
      </c>
      <c r="D29" s="77">
        <f>B29/National!B29</f>
        <v>7.4277990029920499E-2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61+1620</f>
        <v>1681</v>
      </c>
      <c r="C30" s="175">
        <f t="shared" ref="C30:C33" si="2">B30/B$34</f>
        <v>2.2746339747232822E-2</v>
      </c>
      <c r="D30" s="78">
        <f>B30/National!B30</f>
        <v>9.4013241270079183E-4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543+10920</f>
        <v>11463</v>
      </c>
      <c r="C31" s="175">
        <f t="shared" si="2"/>
        <v>0.15511082244052934</v>
      </c>
      <c r="D31" s="78">
        <f>B31/National!B31</f>
        <v>8.9106371070551294E-3</v>
      </c>
      <c r="E31" s="51"/>
      <c r="F31" s="163" t="s">
        <v>16</v>
      </c>
      <c r="G31" s="168">
        <v>977606</v>
      </c>
      <c r="H31" s="92">
        <f>G31/G$38</f>
        <v>0.19476970058725415</v>
      </c>
      <c r="I31" s="112">
        <f>+G31/National!G31</f>
        <v>2.3143080983288933E-2</v>
      </c>
    </row>
    <row r="32" spans="1:9">
      <c r="A32" s="146" t="s">
        <v>94</v>
      </c>
      <c r="B32" s="157">
        <f>24+15</f>
        <v>39</v>
      </c>
      <c r="C32" s="175">
        <f t="shared" si="2"/>
        <v>5.2772590728261757E-4</v>
      </c>
      <c r="D32" s="78">
        <f>B32/National!B32</f>
        <v>6.8400652436992478E-4</v>
      </c>
      <c r="E32" s="51"/>
      <c r="F32" s="163" t="s">
        <v>17</v>
      </c>
      <c r="G32" s="169">
        <v>1704215</v>
      </c>
      <c r="H32" s="106">
        <f t="shared" ref="H32:H37" si="3">G32/G$38</f>
        <v>0.33953294608084167</v>
      </c>
      <c r="I32" s="113">
        <f>+G32/National!G32</f>
        <v>2.7393568316172425E-2</v>
      </c>
    </row>
    <row r="33" spans="1:9">
      <c r="A33" s="146" t="s">
        <v>95</v>
      </c>
      <c r="B33" s="150">
        <f>2079+723</f>
        <v>2802</v>
      </c>
      <c r="C33" s="175">
        <f t="shared" si="2"/>
        <v>3.791507672322806E-2</v>
      </c>
      <c r="D33" s="78">
        <f>B33/National!B33</f>
        <v>2.1302800839339477E-2</v>
      </c>
      <c r="E33" s="51"/>
      <c r="F33" s="163" t="s">
        <v>18</v>
      </c>
      <c r="G33" s="169">
        <v>1209993</v>
      </c>
      <c r="H33" s="106">
        <f t="shared" si="3"/>
        <v>0.2410684614483477</v>
      </c>
      <c r="I33" s="113">
        <f>+G33/National!G33</f>
        <v>3.808922922599059E-2</v>
      </c>
    </row>
    <row r="34" spans="1:9">
      <c r="A34" s="9" t="s">
        <v>1</v>
      </c>
      <c r="B34" s="154">
        <f>SUM(B29:B33)</f>
        <v>73902</v>
      </c>
      <c r="C34" s="176">
        <f>SUM(C29:C33)</f>
        <v>1</v>
      </c>
      <c r="D34" s="180">
        <f>B34/National!B34</f>
        <v>1.828004970851654E-2</v>
      </c>
      <c r="E34" s="51"/>
      <c r="F34" s="163" t="s">
        <v>19</v>
      </c>
      <c r="G34" s="169">
        <v>30760</v>
      </c>
      <c r="H34" s="106">
        <f t="shared" si="3"/>
        <v>6.128354357546841E-3</v>
      </c>
      <c r="I34" s="113">
        <f>+G34/National!G34</f>
        <v>3.581760316424537E-3</v>
      </c>
    </row>
    <row r="35" spans="1:9">
      <c r="B35" s="49"/>
      <c r="C35" s="96"/>
      <c r="D35" s="96"/>
      <c r="E35" s="51"/>
      <c r="F35" s="163" t="s">
        <v>20</v>
      </c>
      <c r="G35" s="169">
        <v>578696</v>
      </c>
      <c r="H35" s="106">
        <f t="shared" si="3"/>
        <v>0.11529434828657109</v>
      </c>
      <c r="I35" s="113">
        <f>+G35/National!G35</f>
        <v>4.3406355073339398E-2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262693</v>
      </c>
      <c r="H36" s="106">
        <f t="shared" si="3"/>
        <v>5.2336664214793639E-2</v>
      </c>
      <c r="I36" s="113">
        <f>+G36/National!G36</f>
        <v>1.6604520784995688E-2</v>
      </c>
    </row>
    <row r="37" spans="1:9">
      <c r="A37" s="146" t="s">
        <v>5</v>
      </c>
      <c r="B37" s="149">
        <f>2758+2630</f>
        <v>5388</v>
      </c>
      <c r="C37" s="174">
        <f>B37/B$43</f>
        <v>3.3654596900628997E-2</v>
      </c>
      <c r="D37" s="77">
        <f>B37/National!B37</f>
        <v>2.5226136299792125E-2</v>
      </c>
      <c r="E37" s="51"/>
      <c r="F37" s="163" t="s">
        <v>22</v>
      </c>
      <c r="G37" s="170">
        <v>255329</v>
      </c>
      <c r="H37" s="106">
        <f t="shared" si="3"/>
        <v>5.086952502464491E-2</v>
      </c>
      <c r="I37" s="114">
        <f>+G37/National!G37</f>
        <v>9.9519542416449027E-3</v>
      </c>
    </row>
    <row r="38" spans="1:9">
      <c r="A38" s="146" t="s">
        <v>7</v>
      </c>
      <c r="B38" s="157">
        <f>5256+5123</f>
        <v>10379</v>
      </c>
      <c r="C38" s="175">
        <f t="shared" ref="C38:C42" si="4">B38/B$43</f>
        <v>6.4829447147666724E-2</v>
      </c>
      <c r="D38" s="78">
        <f>B38/National!B38</f>
        <v>2.1735306313060448E-2</v>
      </c>
      <c r="E38" s="51"/>
      <c r="F38" s="47" t="s">
        <v>1</v>
      </c>
      <c r="G38" s="187">
        <f>SUM(G31:G37)</f>
        <v>5019292</v>
      </c>
      <c r="H38" s="188">
        <f>SUM(H31:H37)</f>
        <v>1</v>
      </c>
      <c r="I38" s="188">
        <f>+G38/National!G39</f>
        <v>2.4936886742101916E-2</v>
      </c>
    </row>
    <row r="39" spans="1:9">
      <c r="A39" s="146" t="s">
        <v>6</v>
      </c>
      <c r="B39" s="157">
        <f>7710+6234</f>
        <v>13944</v>
      </c>
      <c r="C39" s="175">
        <f t="shared" si="4"/>
        <v>8.7097197324122244E-2</v>
      </c>
      <c r="D39" s="78">
        <f>B39/National!B39</f>
        <v>2.5229561142422897E-2</v>
      </c>
      <c r="E39" s="51"/>
      <c r="H39" s="87"/>
      <c r="I39" s="87"/>
    </row>
    <row r="40" spans="1:9" ht="23.25">
      <c r="A40" s="146" t="s">
        <v>30</v>
      </c>
      <c r="B40" s="157">
        <f>18916+4873+5165</f>
        <v>28954</v>
      </c>
      <c r="C40" s="175">
        <f t="shared" si="4"/>
        <v>0.18085285795486486</v>
      </c>
      <c r="D40" s="78">
        <f>B40/National!B40</f>
        <v>1.7997332163098571E-2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66277+33903</f>
        <v>100180</v>
      </c>
      <c r="C41" s="175">
        <f t="shared" si="4"/>
        <v>0.62574564170471647</v>
      </c>
      <c r="D41" s="78">
        <f>B41/National!B41</f>
        <v>1.7957897710610037E-2</v>
      </c>
      <c r="E41" s="51"/>
      <c r="F41" s="163" t="s">
        <v>38</v>
      </c>
      <c r="G41" s="168">
        <v>1356078</v>
      </c>
      <c r="H41" s="189">
        <f>G41/G$47</f>
        <v>0.29214882273597148</v>
      </c>
      <c r="I41" s="113">
        <f>+G41/National!G42</f>
        <v>1.4953236772737239E-2</v>
      </c>
    </row>
    <row r="42" spans="1:9">
      <c r="A42" s="156" t="s">
        <v>29</v>
      </c>
      <c r="B42" s="150">
        <v>1252</v>
      </c>
      <c r="C42" s="175">
        <f t="shared" si="4"/>
        <v>7.8202589680006502E-3</v>
      </c>
      <c r="D42" s="78">
        <f>B42/National!B42</f>
        <v>2.372110647972717E-2</v>
      </c>
      <c r="E42" s="51"/>
      <c r="F42" s="163" t="s">
        <v>39</v>
      </c>
      <c r="G42" s="169">
        <v>1550719</v>
      </c>
      <c r="H42" s="86">
        <f t="shared" ref="H42:H46" si="5">G42/G$47</f>
        <v>0.33408161642936685</v>
      </c>
      <c r="I42" s="113">
        <f>+G42/National!G43</f>
        <v>3.4819717602908612E-2</v>
      </c>
    </row>
    <row r="43" spans="1:9">
      <c r="A43" s="9" t="s">
        <v>1</v>
      </c>
      <c r="B43" s="154">
        <f>SUM(B37:B42)</f>
        <v>160097</v>
      </c>
      <c r="C43" s="178">
        <f>SUM(C37:C42)</f>
        <v>0.99999999999999989</v>
      </c>
      <c r="D43" s="179">
        <f>B43/National!B43</f>
        <v>1.8870530997932688E-2</v>
      </c>
      <c r="E43" s="51"/>
      <c r="F43" s="163" t="s">
        <v>40</v>
      </c>
      <c r="G43" s="169">
        <v>422971</v>
      </c>
      <c r="H43" s="86">
        <f t="shared" si="5"/>
        <v>9.1123430732934677E-2</v>
      </c>
      <c r="I43" s="113">
        <f>+G43/National!G44</f>
        <v>3.2285459669986395E-2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634548</v>
      </c>
      <c r="H44" s="86">
        <f t="shared" si="5"/>
        <v>0.13670485854756528</v>
      </c>
      <c r="I44" s="113">
        <f>+G44/National!G45</f>
        <v>4.3100531091505453E-2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177620</v>
      </c>
      <c r="H45" s="86">
        <f t="shared" si="5"/>
        <v>3.8265847461844561E-2</v>
      </c>
      <c r="I45" s="113">
        <f>+G45/National!G46</f>
        <v>2.1351496089305561E-2</v>
      </c>
    </row>
    <row r="46" spans="1:9">
      <c r="A46" s="8" t="s">
        <v>3</v>
      </c>
      <c r="B46" s="52">
        <v>30201</v>
      </c>
      <c r="C46" s="93">
        <f>B46/B$48</f>
        <v>0.3670604535841902</v>
      </c>
      <c r="D46" s="77">
        <f>B46/National!B48</f>
        <v>3.0493185705429426E-2</v>
      </c>
      <c r="E46" s="51"/>
      <c r="F46" s="163" t="s">
        <v>43</v>
      </c>
      <c r="G46" s="170">
        <v>499801</v>
      </c>
      <c r="H46" s="86">
        <f t="shared" si="5"/>
        <v>0.10767542409231716</v>
      </c>
      <c r="I46" s="113">
        <f>+G46/National!G47</f>
        <v>6.2741596402621488E-2</v>
      </c>
    </row>
    <row r="47" spans="1:9">
      <c r="A47" s="8" t="s">
        <v>2</v>
      </c>
      <c r="B47" s="52">
        <v>52077</v>
      </c>
      <c r="C47" s="97">
        <f>B47/B$48</f>
        <v>0.63293954641580985</v>
      </c>
      <c r="D47" s="78">
        <f>B47/National!B49</f>
        <v>2.6260519562642359E-2</v>
      </c>
      <c r="E47" s="51"/>
      <c r="F47" s="9" t="s">
        <v>1</v>
      </c>
      <c r="G47" s="191">
        <f>SUM(G41:G46)</f>
        <v>4641737</v>
      </c>
      <c r="H47" s="182">
        <f>SUM(H41:H46)</f>
        <v>1.0000000000000002</v>
      </c>
      <c r="I47" s="188">
        <f>+G47/National!G49</f>
        <v>2.5585671679464121E-2</v>
      </c>
    </row>
    <row r="48" spans="1:9">
      <c r="A48" s="9" t="s">
        <v>1</v>
      </c>
      <c r="B48" s="155">
        <f>SUM(B46:B47)</f>
        <v>82278</v>
      </c>
      <c r="C48" s="165">
        <f>SUM(C46:C47)</f>
        <v>1</v>
      </c>
      <c r="D48" s="177">
        <f>B48/National!B50</f>
        <v>2.7670338310729847E-2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906546</v>
      </c>
      <c r="H50" s="189">
        <f>G50/G$52</f>
        <v>0.86054717201431863</v>
      </c>
      <c r="I50" s="113">
        <f>+G50/National!G52</f>
        <v>2.8924593820718478E-2</v>
      </c>
    </row>
    <row r="51" spans="1:9">
      <c r="A51" s="146" t="s">
        <v>5</v>
      </c>
      <c r="B51" s="149">
        <f>8764+15045</f>
        <v>23809</v>
      </c>
      <c r="C51" s="174">
        <f>B51/B$57</f>
        <v>0.28937261479374804</v>
      </c>
      <c r="D51" s="77">
        <f>B51/National!B53</f>
        <v>3.3096509360130442E-2</v>
      </c>
      <c r="E51" s="51"/>
      <c r="F51" s="163" t="s">
        <v>97</v>
      </c>
      <c r="G51" s="194">
        <v>146907</v>
      </c>
      <c r="H51" s="86">
        <f>G51/G$52</f>
        <v>0.13945282798568137</v>
      </c>
      <c r="I51" s="113">
        <f>+G51/National!G53</f>
        <v>2.913185074018939E-2</v>
      </c>
    </row>
    <row r="52" spans="1:9">
      <c r="A52" s="146" t="s">
        <v>7</v>
      </c>
      <c r="B52" s="157">
        <f>6318+12308</f>
        <v>18626</v>
      </c>
      <c r="C52" s="175">
        <f t="shared" ref="C52:C56" si="6">B52/B$57</f>
        <v>0.2263788619071927</v>
      </c>
      <c r="D52" s="78">
        <f>B52/National!B54</f>
        <v>2.7196521368382475E-2</v>
      </c>
      <c r="E52" s="51"/>
      <c r="F52" s="60" t="s">
        <v>1</v>
      </c>
      <c r="G52" s="190">
        <f>SUM(G50:G51)</f>
        <v>1053453</v>
      </c>
      <c r="H52" s="185">
        <f>SUM(H50:H51)</f>
        <v>1</v>
      </c>
      <c r="I52" s="192">
        <f>+G52/National!G54</f>
        <v>2.895331925793853E-2</v>
      </c>
    </row>
    <row r="53" spans="1:9">
      <c r="A53" s="146" t="s">
        <v>6</v>
      </c>
      <c r="B53" s="157">
        <f>5501+10968</f>
        <v>16469</v>
      </c>
      <c r="C53" s="175">
        <f t="shared" si="6"/>
        <v>0.20016286249058071</v>
      </c>
      <c r="D53" s="78">
        <f>B53/National!B55</f>
        <v>3.1131854338686749E-2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5617+584+4288</f>
        <v>10489</v>
      </c>
      <c r="C54" s="175">
        <f t="shared" si="6"/>
        <v>0.12748243758963515</v>
      </c>
      <c r="D54" s="78">
        <f>B54/National!B56</f>
        <v>2.5180831934931713E-2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3417+5606</f>
        <v>9023</v>
      </c>
      <c r="C55" s="175">
        <f t="shared" si="6"/>
        <v>0.1096647949634167</v>
      </c>
      <c r="D55" s="78">
        <f>B55/National!B57</f>
        <v>2.2496646571025375E-2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3862</v>
      </c>
      <c r="C56" s="175">
        <f t="shared" si="6"/>
        <v>4.6938428255426726E-2</v>
      </c>
      <c r="D56" s="78">
        <f>B56/National!B58</f>
        <v>1.7347635475061088E-2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82278</v>
      </c>
      <c r="C57" s="178">
        <f>SUM(C51:C56)</f>
        <v>1.0000000000000002</v>
      </c>
      <c r="D57" s="177">
        <f>B57/National!B59</f>
        <v>2.7670338310729847E-2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87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6549224</v>
      </c>
      <c r="C4" s="99"/>
      <c r="D4" s="77">
        <f>B4/National!B4</f>
        <v>2.1539268383996824E-2</v>
      </c>
      <c r="E4" s="1"/>
      <c r="F4" s="146" t="s">
        <v>10</v>
      </c>
      <c r="G4" s="195">
        <v>2565122</v>
      </c>
      <c r="H4" s="189">
        <f>G4/G$6</f>
        <v>0.51780142886211034</v>
      </c>
      <c r="I4" s="112">
        <f>+G4/National!G4</f>
        <v>2.4755525001495395E-2</v>
      </c>
    </row>
    <row r="5" spans="1:9">
      <c r="A5" s="8" t="s">
        <v>167</v>
      </c>
      <c r="B5" s="50">
        <f>64158+2386</f>
        <v>66544</v>
      </c>
      <c r="C5" s="100"/>
      <c r="D5" s="79">
        <f>B5/National!B5</f>
        <v>1.8811338478860847E-2</v>
      </c>
      <c r="E5" s="1"/>
      <c r="F5" s="146" t="s">
        <v>11</v>
      </c>
      <c r="G5" s="196">
        <v>2388750</v>
      </c>
      <c r="H5" s="86">
        <f>G5/G$6</f>
        <v>0.48219857113788972</v>
      </c>
      <c r="I5" s="113">
        <f>+G5/National!G5</f>
        <v>2.281465477609361E-2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4953872</v>
      </c>
      <c r="H6" s="182">
        <f>SUM(H4:H5)</f>
        <v>1</v>
      </c>
      <c r="I6" s="183">
        <f>+G6/National!G6</f>
        <v>2.3780038921834716E-2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2665966</v>
      </c>
      <c r="C8" s="174">
        <f>B8/B10</f>
        <v>0.80122583706777661</v>
      </c>
      <c r="D8" s="77">
        <f>B8/National!B8</f>
        <v>1.9515713230051534E-2</v>
      </c>
      <c r="E8" s="1"/>
      <c r="F8" s="146" t="s">
        <v>32</v>
      </c>
      <c r="G8" s="206">
        <f>37.5/100</f>
        <v>0.375</v>
      </c>
      <c r="H8" s="87"/>
      <c r="I8" s="87"/>
    </row>
    <row r="9" spans="1:9">
      <c r="A9" s="146" t="s">
        <v>169</v>
      </c>
      <c r="B9" s="150">
        <v>661393</v>
      </c>
      <c r="C9" s="175">
        <f>B9/B10</f>
        <v>0.19877416293222341</v>
      </c>
      <c r="D9" s="78">
        <f>B9/National!B9</f>
        <v>1.7152122602823512E-2</v>
      </c>
      <c r="E9" s="1"/>
      <c r="F9" s="146" t="s">
        <v>31</v>
      </c>
      <c r="G9" s="207">
        <f>37.5/100</f>
        <v>0.375</v>
      </c>
      <c r="H9" s="87"/>
      <c r="I9" s="87"/>
    </row>
    <row r="10" spans="1:9">
      <c r="A10" s="9" t="s">
        <v>9</v>
      </c>
      <c r="B10" s="152">
        <f>SUM(B8:B9)</f>
        <v>3327359</v>
      </c>
      <c r="C10" s="176">
        <f>SUM(C8:C9)</f>
        <v>1</v>
      </c>
      <c r="D10" s="165"/>
      <c r="E10" s="1"/>
      <c r="F10" s="146" t="s">
        <v>33</v>
      </c>
      <c r="G10" s="205">
        <f>37.5/100</f>
        <v>0.375</v>
      </c>
      <c r="H10" s="87"/>
      <c r="I10" s="87"/>
    </row>
    <row r="11" spans="1:9">
      <c r="A11" s="146" t="s">
        <v>170</v>
      </c>
      <c r="B11" s="149">
        <v>77537</v>
      </c>
      <c r="C11" s="93">
        <f>B11/(B12+B11)</f>
        <v>2.9349842154272433E-2</v>
      </c>
      <c r="D11" s="77">
        <f>B11/National!B11</f>
        <v>2.0559230587294464E-2</v>
      </c>
      <c r="E11" s="1"/>
      <c r="G11" s="49"/>
      <c r="H11" s="87"/>
      <c r="I11" s="86"/>
    </row>
    <row r="12" spans="1:9" ht="23.25">
      <c r="A12" s="146" t="s">
        <v>171</v>
      </c>
      <c r="B12" s="150">
        <v>2564283</v>
      </c>
      <c r="C12" s="95">
        <f>B12/(B11+B12)</f>
        <v>0.97065015784572761</v>
      </c>
      <c r="D12" s="79">
        <f>B12/National!B12</f>
        <v>1.9396280104201292E-2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3299259</v>
      </c>
      <c r="H13" s="189">
        <f>G13/G$18</f>
        <v>0.53100647683696278</v>
      </c>
      <c r="I13" s="92">
        <f>+G13/National!G13</f>
        <v>2.4068155666037639E-2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2667826</v>
      </c>
      <c r="H14" s="86">
        <f>G14/G$18</f>
        <v>0.42937910757356335</v>
      </c>
      <c r="I14" s="106">
        <f>+G14/National!G14</f>
        <v>2.4199814902882338E-2</v>
      </c>
    </row>
    <row r="15" spans="1:9">
      <c r="A15" s="146" t="s">
        <v>3</v>
      </c>
      <c r="B15" s="149">
        <v>60784</v>
      </c>
      <c r="C15" s="174">
        <f>B15/B$17</f>
        <v>0.72771678618889701</v>
      </c>
      <c r="D15" s="77">
        <f>B15/National!B15</f>
        <v>2.0416306712149692E-2</v>
      </c>
      <c r="E15" s="3"/>
      <c r="F15" s="146" t="s">
        <v>13</v>
      </c>
      <c r="G15" s="150">
        <v>12625</v>
      </c>
      <c r="H15" s="86">
        <f>G15/G$18</f>
        <v>2.0319583185396039E-3</v>
      </c>
      <c r="I15" s="106">
        <f>+G15/National!G15</f>
        <v>1.497080544712015E-2</v>
      </c>
    </row>
    <row r="16" spans="1:9">
      <c r="A16" s="146" t="s">
        <v>2</v>
      </c>
      <c r="B16" s="150">
        <v>22743</v>
      </c>
      <c r="C16" s="175">
        <f>B16/B$17</f>
        <v>0.27228321381110299</v>
      </c>
      <c r="D16" s="78">
        <f>B16/National!B16</f>
        <v>2.1344107213243989E-2</v>
      </c>
      <c r="E16" s="1"/>
      <c r="F16" s="9" t="s">
        <v>1</v>
      </c>
      <c r="G16" s="162">
        <v>5979710</v>
      </c>
      <c r="H16" s="105"/>
      <c r="I16" s="106"/>
    </row>
    <row r="17" spans="1:9">
      <c r="A17" s="9" t="s">
        <v>1</v>
      </c>
      <c r="B17" s="154">
        <f>SUM(B15:B16)</f>
        <v>83527</v>
      </c>
      <c r="C17" s="176">
        <f>SUM(C15:C16)</f>
        <v>1</v>
      </c>
      <c r="D17" s="177">
        <f>B17/National!B17</f>
        <v>2.0660844253244312E-2</v>
      </c>
      <c r="E17" s="1"/>
      <c r="F17" s="108" t="s">
        <v>35</v>
      </c>
      <c r="G17" s="117">
        <v>233508</v>
      </c>
      <c r="H17" s="105">
        <f>G17/G$18</f>
        <v>3.7582457270934323E-2</v>
      </c>
      <c r="I17" s="106">
        <f>+G17/National!G17</f>
        <v>3.0300277792772404E-2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6213218</v>
      </c>
      <c r="H18" s="185">
        <f>SUM(H13:H17)</f>
        <v>1</v>
      </c>
      <c r="I18" s="186">
        <f>+G18/National!G18</f>
        <v>2.4282599805819493E-2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467+297</f>
        <v>764</v>
      </c>
      <c r="C20" s="174">
        <f>B20/B$26</f>
        <v>9.1468524770730066E-3</v>
      </c>
      <c r="D20" s="77">
        <f>B20/National!B20</f>
        <v>1.6341896430022887E-2</v>
      </c>
      <c r="E20" s="51"/>
      <c r="F20" s="163" t="s">
        <v>3</v>
      </c>
      <c r="G20" s="108">
        <f>215+52</f>
        <v>267</v>
      </c>
      <c r="H20" s="189">
        <f>G20/G$23</f>
        <v>0.5124760076775432</v>
      </c>
      <c r="I20" s="92">
        <f>+G20/National!G20</f>
        <v>1.2832219925986446E-2</v>
      </c>
    </row>
    <row r="21" spans="1:9">
      <c r="A21" s="146" t="s">
        <v>7</v>
      </c>
      <c r="B21" s="157">
        <f>1980+1319</f>
        <v>3299</v>
      </c>
      <c r="C21" s="175">
        <f t="shared" ref="C21:C25" si="0">B21/B$26</f>
        <v>3.949668366736106E-2</v>
      </c>
      <c r="D21" s="78">
        <f>B21/National!B21</f>
        <v>2.0682607550813137E-2</v>
      </c>
      <c r="E21" s="51"/>
      <c r="F21" s="163" t="s">
        <v>2</v>
      </c>
      <c r="G21" s="198">
        <f>210+23</f>
        <v>233</v>
      </c>
      <c r="H21" s="86">
        <f t="shared" ref="H21:H22" si="1">G21/G$23</f>
        <v>0.44721689059500958</v>
      </c>
      <c r="I21" s="106">
        <f>+G21/National!G21</f>
        <v>1.460265730759589E-2</v>
      </c>
    </row>
    <row r="22" spans="1:9">
      <c r="A22" s="146" t="s">
        <v>6</v>
      </c>
      <c r="B22" s="157">
        <f>1860+2599</f>
        <v>4459</v>
      </c>
      <c r="C22" s="175">
        <f t="shared" si="0"/>
        <v>5.3384574862916936E-2</v>
      </c>
      <c r="D22" s="78">
        <f>B22/National!B22</f>
        <v>1.8487116233752772E-2</v>
      </c>
      <c r="E22" s="51"/>
      <c r="F22" s="163" t="s">
        <v>28</v>
      </c>
      <c r="G22" s="181">
        <v>21</v>
      </c>
      <c r="H22" s="86">
        <f t="shared" si="1"/>
        <v>4.0307101727447218E-2</v>
      </c>
      <c r="I22" s="106">
        <f>+G22/National!G22</f>
        <v>4.2168674698795178E-2</v>
      </c>
    </row>
    <row r="23" spans="1:9">
      <c r="A23" s="146" t="s">
        <v>30</v>
      </c>
      <c r="B23" s="157">
        <f>8194+6189+2379</f>
        <v>16762</v>
      </c>
      <c r="C23" s="175">
        <f t="shared" si="0"/>
        <v>0.20068002777578239</v>
      </c>
      <c r="D23" s="78">
        <f>B23/National!B23</f>
        <v>2.1092581104258656E-2</v>
      </c>
      <c r="E23" s="51"/>
      <c r="F23" s="9" t="s">
        <v>1</v>
      </c>
      <c r="G23" s="197">
        <f>SUM(G20:G22)</f>
        <v>521</v>
      </c>
      <c r="H23" s="132">
        <f>SUM(H20:H22)</f>
        <v>1</v>
      </c>
      <c r="I23" s="133">
        <f>+G23/National!G23</f>
        <v>1.3982448136120876E-2</v>
      </c>
    </row>
    <row r="24" spans="1:9">
      <c r="A24" s="146" t="s">
        <v>8</v>
      </c>
      <c r="B24" s="157">
        <f>42093+15774</f>
        <v>57867</v>
      </c>
      <c r="C24" s="175">
        <f t="shared" si="0"/>
        <v>0.69280224121830325</v>
      </c>
      <c r="D24" s="78">
        <f>B24/National!B24</f>
        <v>2.0746035570163739E-2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375</v>
      </c>
      <c r="C25" s="175">
        <f t="shared" si="0"/>
        <v>4.4896199985633217E-3</v>
      </c>
      <c r="D25" s="78">
        <f>B25/National!B25</f>
        <v>3.3083370092633436E-2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83526</v>
      </c>
      <c r="C26" s="176">
        <f>SUM(C20:C25)</f>
        <v>1</v>
      </c>
      <c r="D26" s="177">
        <f>B26/National!B26</f>
        <v>2.0660545793016585E-2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3988204</v>
      </c>
      <c r="H27" s="87"/>
      <c r="I27" s="113">
        <f>+G27/National!G27</f>
        <v>2.8883454068879547E-2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3901250</v>
      </c>
      <c r="H28" s="87"/>
      <c r="I28" s="114">
        <f>+G28/National!G28</f>
        <v>2.9336972318576668E-2</v>
      </c>
    </row>
    <row r="29" spans="1:9">
      <c r="A29" s="146" t="s">
        <v>91</v>
      </c>
      <c r="B29" s="149">
        <f>5732+1310</f>
        <v>7042</v>
      </c>
      <c r="C29" s="174">
        <f>B29/B$34</f>
        <v>8.43090774130211E-2</v>
      </c>
      <c r="D29" s="77">
        <f>B29/National!B29</f>
        <v>9.0312966105064174E-3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33690+6135</f>
        <v>39825</v>
      </c>
      <c r="C30" s="175">
        <f t="shared" ref="C30:C33" si="2">B30/B$34</f>
        <v>0.47679764384742473</v>
      </c>
      <c r="D30" s="78">
        <f>B30/National!B30</f>
        <v>2.2272916916007753E-2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2170+15037</f>
        <v>17207</v>
      </c>
      <c r="C31" s="175">
        <f t="shared" si="2"/>
        <v>0.20600771017407754</v>
      </c>
      <c r="D31" s="78">
        <f>B31/National!B31</f>
        <v>1.3375672398246323E-2</v>
      </c>
      <c r="E31" s="51"/>
      <c r="F31" s="163" t="s">
        <v>16</v>
      </c>
      <c r="G31" s="168">
        <v>863140</v>
      </c>
      <c r="H31" s="92">
        <f>G31/G$38</f>
        <v>0.1846992405021036</v>
      </c>
      <c r="I31" s="112">
        <f>+G31/National!G31</f>
        <v>2.04333022914303E-2</v>
      </c>
    </row>
    <row r="32" spans="1:9">
      <c r="A32" s="146" t="s">
        <v>94</v>
      </c>
      <c r="B32" s="157">
        <f>10727+66</f>
        <v>10793</v>
      </c>
      <c r="C32" s="175">
        <f t="shared" si="2"/>
        <v>0.12921724971865048</v>
      </c>
      <c r="D32" s="78">
        <f>B32/National!B32</f>
        <v>0.18929442096216917</v>
      </c>
      <c r="E32" s="51"/>
      <c r="F32" s="163" t="s">
        <v>17</v>
      </c>
      <c r="G32" s="169">
        <v>1638182</v>
      </c>
      <c r="H32" s="106">
        <f t="shared" ref="H32:H37" si="3">G32/G$38</f>
        <v>0.35054680724357234</v>
      </c>
      <c r="I32" s="113">
        <f>+G32/National!G32</f>
        <v>2.6332153238484566E-2</v>
      </c>
    </row>
    <row r="33" spans="1:9">
      <c r="A33" s="146" t="s">
        <v>95</v>
      </c>
      <c r="B33" s="150">
        <f>8465+194</f>
        <v>8659</v>
      </c>
      <c r="C33" s="175">
        <f t="shared" si="2"/>
        <v>0.10366831884682613</v>
      </c>
      <c r="D33" s="78">
        <f>B33/National!B33</f>
        <v>6.5831888817930242E-2</v>
      </c>
      <c r="E33" s="51"/>
      <c r="F33" s="163" t="s">
        <v>18</v>
      </c>
      <c r="G33" s="169">
        <v>310766</v>
      </c>
      <c r="H33" s="106">
        <f t="shared" si="3"/>
        <v>6.6499344456144679E-2</v>
      </c>
      <c r="I33" s="113">
        <f>+G33/National!G33</f>
        <v>9.782566849266228E-3</v>
      </c>
    </row>
    <row r="34" spans="1:9">
      <c r="A34" s="9" t="s">
        <v>1</v>
      </c>
      <c r="B34" s="154">
        <f>SUM(B29:B33)</f>
        <v>83526</v>
      </c>
      <c r="C34" s="176">
        <f>SUM(C29:C33)</f>
        <v>0.99999999999999989</v>
      </c>
      <c r="D34" s="180">
        <f>B34/National!B34</f>
        <v>2.0660596897966937E-2</v>
      </c>
      <c r="E34" s="51"/>
      <c r="F34" s="163" t="s">
        <v>19</v>
      </c>
      <c r="G34" s="169">
        <v>496755</v>
      </c>
      <c r="H34" s="106">
        <f t="shared" si="3"/>
        <v>0.10629824966473859</v>
      </c>
      <c r="I34" s="113">
        <f>+G34/National!G34</f>
        <v>5.7843216709540665E-2</v>
      </c>
    </row>
    <row r="35" spans="1:9">
      <c r="B35" s="49"/>
      <c r="C35" s="96"/>
      <c r="D35" s="96"/>
      <c r="E35" s="51"/>
      <c r="F35" s="163" t="s">
        <v>20</v>
      </c>
      <c r="G35" s="169">
        <v>281019</v>
      </c>
      <c r="H35" s="106">
        <f t="shared" si="3"/>
        <v>6.0133924817133547E-2</v>
      </c>
      <c r="I35" s="113">
        <f>+G35/National!G35</f>
        <v>2.1078442733930707E-2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288076</v>
      </c>
      <c r="H36" s="106">
        <f t="shared" si="3"/>
        <v>6.1644018822999733E-2</v>
      </c>
      <c r="I36" s="113">
        <f>+G36/National!G36</f>
        <v>1.8208950865300628E-2</v>
      </c>
    </row>
    <row r="37" spans="1:9">
      <c r="A37" s="146" t="s">
        <v>5</v>
      </c>
      <c r="B37" s="149">
        <f>2077+1895</f>
        <v>3972</v>
      </c>
      <c r="C37" s="174">
        <f>B37/B$43</f>
        <v>2.2732085319720027E-2</v>
      </c>
      <c r="D37" s="77">
        <f>B37/National!B37</f>
        <v>1.8596550367998201E-2</v>
      </c>
      <c r="E37" s="51"/>
      <c r="F37" s="163" t="s">
        <v>22</v>
      </c>
      <c r="G37" s="170">
        <v>795281</v>
      </c>
      <c r="H37" s="106">
        <f t="shared" si="3"/>
        <v>0.17017841449330751</v>
      </c>
      <c r="I37" s="114">
        <f>+G37/National!G37</f>
        <v>3.0997654482058837E-2</v>
      </c>
    </row>
    <row r="38" spans="1:9">
      <c r="A38" s="146" t="s">
        <v>7</v>
      </c>
      <c r="B38" s="157">
        <f>4484+4453</f>
        <v>8937</v>
      </c>
      <c r="C38" s="175">
        <f t="shared" ref="C38:C42" si="4">B38/B$43</f>
        <v>5.1147191969370058E-2</v>
      </c>
      <c r="D38" s="78">
        <f>B38/National!B38</f>
        <v>1.871552485979586E-2</v>
      </c>
      <c r="E38" s="51"/>
      <c r="F38" s="47" t="s">
        <v>1</v>
      </c>
      <c r="G38" s="187">
        <f>SUM(G31:G37)</f>
        <v>4673219</v>
      </c>
      <c r="H38" s="188">
        <f>SUM(H31:H37)</f>
        <v>1</v>
      </c>
      <c r="I38" s="188">
        <f>+G38/National!G39</f>
        <v>2.3217524089859443E-2</v>
      </c>
    </row>
    <row r="39" spans="1:9">
      <c r="A39" s="146" t="s">
        <v>6</v>
      </c>
      <c r="B39" s="157">
        <f>3760+7309</f>
        <v>11069</v>
      </c>
      <c r="C39" s="175">
        <f t="shared" si="4"/>
        <v>6.3348804734134179E-2</v>
      </c>
      <c r="D39" s="78">
        <f>B39/National!B39</f>
        <v>2.0027683038258682E-2</v>
      </c>
      <c r="E39" s="51"/>
      <c r="H39" s="87"/>
      <c r="I39" s="87"/>
    </row>
    <row r="40" spans="1:9" ht="23.25">
      <c r="A40" s="146" t="s">
        <v>30</v>
      </c>
      <c r="B40" s="157">
        <f>16392+12378+4801</f>
        <v>33571</v>
      </c>
      <c r="C40" s="175">
        <f t="shared" si="4"/>
        <v>0.19212961638175252</v>
      </c>
      <c r="D40" s="78">
        <f>B40/National!B40</f>
        <v>2.0867183741361543E-2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84185+31548</f>
        <v>115733</v>
      </c>
      <c r="C41" s="175">
        <f t="shared" si="4"/>
        <v>0.66234955445799548</v>
      </c>
      <c r="D41" s="78">
        <f>B41/National!B41</f>
        <v>2.0745871189279612E-2</v>
      </c>
      <c r="E41" s="51"/>
      <c r="F41" s="163" t="s">
        <v>38</v>
      </c>
      <c r="G41" s="168">
        <v>2432168</v>
      </c>
      <c r="H41" s="189">
        <f>G41/G$47</f>
        <v>0.55458651499286749</v>
      </c>
      <c r="I41" s="113">
        <f>+G41/National!G42</f>
        <v>2.6819094458486004E-2</v>
      </c>
    </row>
    <row r="42" spans="1:9">
      <c r="A42" s="156" t="s">
        <v>29</v>
      </c>
      <c r="B42" s="150">
        <v>1449</v>
      </c>
      <c r="C42" s="175">
        <f t="shared" si="4"/>
        <v>8.2927471370277742E-3</v>
      </c>
      <c r="D42" s="78">
        <f>B42/National!B42</f>
        <v>2.7453580901856765E-2</v>
      </c>
      <c r="E42" s="51"/>
      <c r="F42" s="163" t="s">
        <v>39</v>
      </c>
      <c r="G42" s="169">
        <v>919925</v>
      </c>
      <c r="H42" s="86">
        <f t="shared" ref="H42:H46" si="5">G42/G$47</f>
        <v>0.2097626478947234</v>
      </c>
      <c r="I42" s="113">
        <f>+G42/National!G43</f>
        <v>2.0655920715394408E-2</v>
      </c>
    </row>
    <row r="43" spans="1:9">
      <c r="A43" s="9" t="s">
        <v>1</v>
      </c>
      <c r="B43" s="154">
        <f>SUM(B37:B42)</f>
        <v>174731</v>
      </c>
      <c r="C43" s="178">
        <f>SUM(C37:C42)</f>
        <v>1</v>
      </c>
      <c r="D43" s="179">
        <f>B43/National!B43</f>
        <v>2.0595431218572345E-2</v>
      </c>
      <c r="E43" s="51"/>
      <c r="F43" s="163" t="s">
        <v>40</v>
      </c>
      <c r="G43" s="169">
        <v>403091</v>
      </c>
      <c r="H43" s="86">
        <f t="shared" si="5"/>
        <v>9.1913401095232716E-2</v>
      </c>
      <c r="I43" s="113">
        <f>+G43/National!G44</f>
        <v>3.0768015357635597E-2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323566</v>
      </c>
      <c r="H44" s="86">
        <f t="shared" si="5"/>
        <v>7.3779993943749844E-2</v>
      </c>
      <c r="I44" s="113">
        <f>+G44/National!G45</f>
        <v>2.1977638323899932E-2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139957</v>
      </c>
      <c r="H45" s="86">
        <f t="shared" si="5"/>
        <v>3.1913200436341882E-2</v>
      </c>
      <c r="I45" s="113">
        <f>+G45/National!G46</f>
        <v>1.6824070139460297E-2</v>
      </c>
    </row>
    <row r="46" spans="1:9">
      <c r="A46" s="8" t="s">
        <v>3</v>
      </c>
      <c r="B46" s="52">
        <v>16085</v>
      </c>
      <c r="C46" s="93">
        <f>B46/B$48</f>
        <v>0.28951726124050542</v>
      </c>
      <c r="D46" s="77">
        <f>B46/National!B48</f>
        <v>1.6240617597822332E-2</v>
      </c>
      <c r="E46" s="51"/>
      <c r="F46" s="163" t="s">
        <v>43</v>
      </c>
      <c r="G46" s="170">
        <v>166845</v>
      </c>
      <c r="H46" s="86">
        <f t="shared" si="5"/>
        <v>3.8044241637084683E-2</v>
      </c>
      <c r="I46" s="113">
        <f>+G46/National!G47</f>
        <v>2.0944579246130721E-2</v>
      </c>
    </row>
    <row r="47" spans="1:9">
      <c r="A47" s="8" t="s">
        <v>2</v>
      </c>
      <c r="B47" s="52">
        <v>39473</v>
      </c>
      <c r="C47" s="97">
        <f>B47/B$48</f>
        <v>0.71048273875949464</v>
      </c>
      <c r="D47" s="78">
        <f>B47/National!B49</f>
        <v>1.9904785004823278E-2</v>
      </c>
      <c r="E47" s="51"/>
      <c r="F47" s="9" t="s">
        <v>1</v>
      </c>
      <c r="G47" s="191">
        <f>SUM(G41:G46)</f>
        <v>4385552</v>
      </c>
      <c r="H47" s="182">
        <f>SUM(H41:H46)</f>
        <v>0.99999999999999989</v>
      </c>
      <c r="I47" s="188">
        <f>+G47/National!G49</f>
        <v>2.4173556926042394E-2</v>
      </c>
    </row>
    <row r="48" spans="1:9">
      <c r="A48" s="9" t="s">
        <v>1</v>
      </c>
      <c r="B48" s="155">
        <f>SUM(B46:B47)</f>
        <v>55558</v>
      </c>
      <c r="C48" s="165">
        <f>SUM(C46:C47)</f>
        <v>1</v>
      </c>
      <c r="D48" s="177">
        <f>B48/National!B50</f>
        <v>1.8684322125811625E-2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588698</v>
      </c>
      <c r="H50" s="189">
        <f>G50/G$52</f>
        <v>0.85992281556659855</v>
      </c>
      <c r="I50" s="113">
        <f>+G50/National!G52</f>
        <v>1.8783217324955741E-2</v>
      </c>
    </row>
    <row r="51" spans="1:9">
      <c r="A51" s="146" t="s">
        <v>5</v>
      </c>
      <c r="B51" s="149">
        <f>4392+10681</f>
        <v>15073</v>
      </c>
      <c r="C51" s="174">
        <f>B51/B$57</f>
        <v>0.27130206270924079</v>
      </c>
      <c r="D51" s="77">
        <f>B51/National!B53</f>
        <v>2.0952735754766947E-2</v>
      </c>
      <c r="E51" s="51"/>
      <c r="F51" s="163" t="s">
        <v>97</v>
      </c>
      <c r="G51" s="194">
        <v>95896</v>
      </c>
      <c r="H51" s="86">
        <f>G51/G$52</f>
        <v>0.14007718443340139</v>
      </c>
      <c r="I51" s="113">
        <f>+G51/National!G53</f>
        <v>1.9016302549103865E-2</v>
      </c>
    </row>
    <row r="52" spans="1:9">
      <c r="A52" s="146" t="s">
        <v>7</v>
      </c>
      <c r="B52" s="157">
        <f>3933+8679</f>
        <v>12612</v>
      </c>
      <c r="C52" s="175">
        <f t="shared" ref="C52:C56" si="6">B52/B$57</f>
        <v>0.22700601173548363</v>
      </c>
      <c r="D52" s="78">
        <f>B52/National!B54</f>
        <v>1.8415254348654556E-2</v>
      </c>
      <c r="E52" s="51"/>
      <c r="F52" s="60" t="s">
        <v>1</v>
      </c>
      <c r="G52" s="190">
        <f>SUM(G50:G51)</f>
        <v>684594</v>
      </c>
      <c r="H52" s="185">
        <f>SUM(H50:H51)</f>
        <v>1</v>
      </c>
      <c r="I52" s="192">
        <f>+G52/National!G54</f>
        <v>1.8815522518868113E-2</v>
      </c>
    </row>
    <row r="53" spans="1:9">
      <c r="A53" s="146" t="s">
        <v>6</v>
      </c>
      <c r="B53" s="157">
        <f>1854+7413</f>
        <v>9267</v>
      </c>
      <c r="C53" s="175">
        <f t="shared" si="6"/>
        <v>0.1667986608589222</v>
      </c>
      <c r="D53" s="78">
        <f>B53/National!B55</f>
        <v>1.7517693494238273E-2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3744+1036+3219</f>
        <v>7999</v>
      </c>
      <c r="C54" s="175">
        <f t="shared" si="6"/>
        <v>0.14397566507073689</v>
      </c>
      <c r="D54" s="78">
        <f>B54/National!B56</f>
        <v>1.9203115134666677E-2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1126+4346</f>
        <v>5472</v>
      </c>
      <c r="C55" s="175">
        <f t="shared" si="6"/>
        <v>9.8491666366679873E-2</v>
      </c>
      <c r="D55" s="78">
        <f>B55/National!B57</f>
        <v>1.3643095426870316E-2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5135</v>
      </c>
      <c r="C56" s="175">
        <f t="shared" si="6"/>
        <v>9.242593325893661E-2</v>
      </c>
      <c r="D56" s="78">
        <f>B56/National!B58</f>
        <v>2.3065797038953572E-2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55558</v>
      </c>
      <c r="C57" s="178">
        <f>SUM(C51:C56)</f>
        <v>1</v>
      </c>
      <c r="D57" s="177">
        <f>B57/National!B59</f>
        <v>1.8684322125811625E-2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0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  <col min="8" max="9" width="8.7109375" customWidth="1"/>
  </cols>
  <sheetData>
    <row r="1" spans="1:14" ht="24.75">
      <c r="A1" s="6" t="s">
        <v>27</v>
      </c>
      <c r="B1" s="16">
        <v>2008</v>
      </c>
      <c r="C1" s="16"/>
      <c r="D1" s="16"/>
      <c r="E1" s="7"/>
      <c r="F1" s="11"/>
      <c r="G1" s="7"/>
      <c r="H1" s="7"/>
      <c r="I1" s="23"/>
      <c r="J1" s="23"/>
      <c r="K1" s="23"/>
      <c r="L1" s="23"/>
      <c r="M1" s="1"/>
    </row>
    <row r="2" spans="1:14" ht="15.75">
      <c r="A2" s="12" t="s">
        <v>24</v>
      </c>
      <c r="B2" s="13"/>
      <c r="C2" s="13"/>
      <c r="D2" s="13"/>
      <c r="E2" s="14"/>
      <c r="F2" s="15" t="s">
        <v>23</v>
      </c>
      <c r="G2" s="7"/>
      <c r="H2" s="7"/>
      <c r="I2" s="23"/>
      <c r="J2" s="23"/>
      <c r="K2" s="23"/>
      <c r="L2" s="23"/>
      <c r="M2" s="1"/>
    </row>
    <row r="3" spans="1:14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  <c r="J3" s="3"/>
      <c r="K3" s="3"/>
      <c r="L3" s="1"/>
      <c r="M3" s="1"/>
    </row>
    <row r="4" spans="1:14">
      <c r="A4" s="8" t="s">
        <v>211</v>
      </c>
      <c r="B4" s="50">
        <v>2855390</v>
      </c>
      <c r="C4" s="99"/>
      <c r="D4" s="77">
        <f>B4/National!B4</f>
        <v>9.390885324884397E-3</v>
      </c>
      <c r="E4" s="1"/>
      <c r="F4" s="146" t="s">
        <v>10</v>
      </c>
      <c r="G4" s="195">
        <v>1015167</v>
      </c>
      <c r="H4" s="189">
        <f>G4/G$6</f>
        <v>0.49395311088177291</v>
      </c>
      <c r="I4" s="112">
        <f>+G4/National!G4</f>
        <v>9.7971917316966115E-3</v>
      </c>
      <c r="J4" s="3"/>
      <c r="K4" s="3"/>
      <c r="L4" s="1"/>
    </row>
    <row r="5" spans="1:14">
      <c r="A5" s="8" t="s">
        <v>167</v>
      </c>
      <c r="B5" s="50">
        <f>51260+808</f>
        <v>52068</v>
      </c>
      <c r="C5" s="100"/>
      <c r="D5" s="79">
        <f>B5/National!B5</f>
        <v>1.4719114749899715E-2</v>
      </c>
      <c r="E5" s="1"/>
      <c r="F5" s="146" t="s">
        <v>11</v>
      </c>
      <c r="G5" s="196">
        <v>1040022</v>
      </c>
      <c r="H5" s="86">
        <f>G5/G$6</f>
        <v>0.50604688911822704</v>
      </c>
      <c r="I5" s="113">
        <f>+G5/National!G5</f>
        <v>9.9331210421946328E-3</v>
      </c>
      <c r="J5" s="3"/>
      <c r="K5" s="3"/>
      <c r="L5" s="1"/>
    </row>
    <row r="6" spans="1:14">
      <c r="A6" s="1"/>
      <c r="B6" s="51"/>
      <c r="C6" s="96"/>
      <c r="D6" s="96"/>
      <c r="E6" s="1"/>
      <c r="F6" s="9" t="s">
        <v>1</v>
      </c>
      <c r="G6" s="154">
        <f>SUM(G4:G5)</f>
        <v>2055189</v>
      </c>
      <c r="H6" s="182">
        <f>SUM(H4:H5)</f>
        <v>1</v>
      </c>
      <c r="I6" s="183">
        <f>+G6/National!G6</f>
        <v>9.8655101326248582E-3</v>
      </c>
      <c r="J6" s="3"/>
      <c r="K6" s="3"/>
      <c r="L6" s="1"/>
    </row>
    <row r="7" spans="1:14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  <c r="J7" s="3"/>
      <c r="K7" s="3"/>
      <c r="L7" s="1"/>
      <c r="M7" s="1"/>
    </row>
    <row r="8" spans="1:14">
      <c r="A8" s="146" t="s">
        <v>168</v>
      </c>
      <c r="B8" s="149">
        <v>1429141</v>
      </c>
      <c r="C8" s="174">
        <f>B8/B10</f>
        <v>0.69458351214623604</v>
      </c>
      <c r="D8" s="77">
        <f>B8/National!B8</f>
        <v>1.0461763548863369E-2</v>
      </c>
      <c r="E8" s="1"/>
      <c r="F8" s="146" t="s">
        <v>32</v>
      </c>
      <c r="G8" s="206">
        <f>21.5/100</f>
        <v>0.215</v>
      </c>
      <c r="H8" s="87"/>
      <c r="I8" s="87"/>
      <c r="J8" s="1"/>
      <c r="K8" s="1"/>
      <c r="L8" s="1"/>
      <c r="M8" s="1"/>
    </row>
    <row r="9" spans="1:14">
      <c r="A9" s="146" t="s">
        <v>169</v>
      </c>
      <c r="B9" s="150">
        <v>628410</v>
      </c>
      <c r="C9" s="175">
        <f>B9/B10</f>
        <v>0.30541648785376402</v>
      </c>
      <c r="D9" s="78">
        <f>B9/National!B9</f>
        <v>1.6296763595684143E-2</v>
      </c>
      <c r="E9" s="1"/>
      <c r="F9" s="146" t="s">
        <v>31</v>
      </c>
      <c r="G9" s="207">
        <f>22.5/100</f>
        <v>0.22500000000000001</v>
      </c>
      <c r="H9" s="87"/>
      <c r="I9" s="87"/>
      <c r="J9" s="1"/>
      <c r="K9" s="1"/>
      <c r="L9" s="1"/>
      <c r="M9" s="1"/>
    </row>
    <row r="10" spans="1:14">
      <c r="A10" s="9" t="s">
        <v>9</v>
      </c>
      <c r="B10" s="152">
        <f>SUM(B8:B9)</f>
        <v>2057551</v>
      </c>
      <c r="C10" s="176">
        <f>SUM(C8:C9)</f>
        <v>1</v>
      </c>
      <c r="D10" s="165"/>
      <c r="E10" s="1"/>
      <c r="F10" s="146" t="s">
        <v>33</v>
      </c>
      <c r="G10" s="205">
        <f>21.5/100</f>
        <v>0.215</v>
      </c>
      <c r="H10" s="87"/>
      <c r="I10" s="87"/>
      <c r="J10" s="1"/>
      <c r="K10" s="1"/>
      <c r="L10" s="1"/>
      <c r="M10" s="1"/>
    </row>
    <row r="11" spans="1:14">
      <c r="A11" s="146" t="s">
        <v>170</v>
      </c>
      <c r="B11" s="149">
        <v>53634</v>
      </c>
      <c r="C11" s="93">
        <f>B11/(B12+B11)</f>
        <v>3.7954152708251067E-2</v>
      </c>
      <c r="D11" s="77">
        <f>B11/National!B11</f>
        <v>1.422125918360204E-2</v>
      </c>
      <c r="E11" s="1"/>
      <c r="G11" s="49"/>
      <c r="H11" s="87"/>
      <c r="I11" s="86"/>
      <c r="J11" s="1"/>
      <c r="K11" s="1"/>
      <c r="L11" s="1"/>
      <c r="M11" s="1"/>
    </row>
    <row r="12" spans="1:14" ht="23.25">
      <c r="A12" s="146" t="s">
        <v>171</v>
      </c>
      <c r="B12" s="150">
        <v>1359492</v>
      </c>
      <c r="C12" s="95">
        <f>B12/(B11+B12)</f>
        <v>0.96204584729174891</v>
      </c>
      <c r="D12" s="79">
        <f>B12/National!B12</f>
        <v>1.0283220546024298E-2</v>
      </c>
      <c r="E12" s="1"/>
      <c r="F12" s="67" t="s">
        <v>189</v>
      </c>
      <c r="G12" s="51"/>
      <c r="H12" s="89" t="s">
        <v>197</v>
      </c>
      <c r="I12" s="90" t="s">
        <v>198</v>
      </c>
      <c r="J12" s="1"/>
      <c r="K12" s="1"/>
      <c r="L12" s="1"/>
      <c r="M12" s="1"/>
    </row>
    <row r="13" spans="1:14">
      <c r="A13" s="1"/>
      <c r="B13" s="51"/>
      <c r="C13" s="96"/>
      <c r="D13" s="96"/>
      <c r="E13" s="1"/>
      <c r="F13" s="146" t="s">
        <v>34</v>
      </c>
      <c r="G13" s="149">
        <v>957446</v>
      </c>
      <c r="H13" s="189">
        <f>G13/G$18</f>
        <v>0.45332157866129308</v>
      </c>
      <c r="I13" s="92">
        <f>+G13/National!G13</f>
        <v>6.9845863479724001E-3</v>
      </c>
      <c r="J13" s="1"/>
      <c r="K13" s="1"/>
      <c r="L13" s="1"/>
      <c r="M13" s="1"/>
      <c r="N13" s="1"/>
    </row>
    <row r="14" spans="1:14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1075805</v>
      </c>
      <c r="H14" s="86">
        <f>G14/G$18</f>
        <v>0.50936096754460558</v>
      </c>
      <c r="I14" s="106">
        <f>+G14/National!G14</f>
        <v>9.758613144783556E-3</v>
      </c>
      <c r="J14" s="1"/>
      <c r="K14" s="1"/>
      <c r="L14" s="1"/>
      <c r="M14" s="1"/>
      <c r="N14" s="1"/>
    </row>
    <row r="15" spans="1:14">
      <c r="A15" s="146" t="s">
        <v>3</v>
      </c>
      <c r="B15" s="149">
        <v>87627</v>
      </c>
      <c r="C15" s="174">
        <f>B15/B$17</f>
        <v>0.87792049052218168</v>
      </c>
      <c r="D15" s="77">
        <f>B15/National!B15</f>
        <v>2.9432411625847938E-2</v>
      </c>
      <c r="E15" s="3"/>
      <c r="F15" s="146" t="s">
        <v>13</v>
      </c>
      <c r="G15" s="150">
        <v>7737</v>
      </c>
      <c r="H15" s="86">
        <f>G15/G$18</f>
        <v>3.6632343276826315E-3</v>
      </c>
      <c r="I15" s="106">
        <f>+G15/National!G15</f>
        <v>9.1745839005440474E-3</v>
      </c>
      <c r="J15" s="1"/>
      <c r="K15" s="1"/>
      <c r="L15" s="1"/>
      <c r="M15" s="1"/>
    </row>
    <row r="16" spans="1:14">
      <c r="A16" s="146" t="s">
        <v>2</v>
      </c>
      <c r="B16" s="150">
        <v>12185</v>
      </c>
      <c r="C16" s="175">
        <f>B16/B$17</f>
        <v>0.1220795094778183</v>
      </c>
      <c r="D16" s="78">
        <f>B16/National!B16</f>
        <v>1.1435516264053907E-2</v>
      </c>
      <c r="E16" s="1"/>
      <c r="F16" s="9" t="s">
        <v>1</v>
      </c>
      <c r="G16" s="162">
        <v>2040988</v>
      </c>
      <c r="H16" s="105"/>
      <c r="I16" s="106"/>
      <c r="J16" s="1"/>
      <c r="K16" s="1"/>
      <c r="L16" s="1"/>
      <c r="M16" s="1"/>
    </row>
    <row r="17" spans="1:14">
      <c r="A17" s="9" t="s">
        <v>1</v>
      </c>
      <c r="B17" s="154">
        <f>SUM(B15:B16)</f>
        <v>99812</v>
      </c>
      <c r="C17" s="176">
        <f>SUM(C15:C16)</f>
        <v>1</v>
      </c>
      <c r="D17" s="177">
        <f>B17/National!B17</f>
        <v>2.4689024945285014E-2</v>
      </c>
      <c r="E17" s="1"/>
      <c r="F17" s="108" t="s">
        <v>35</v>
      </c>
      <c r="G17" s="117">
        <v>71080</v>
      </c>
      <c r="H17" s="105">
        <f>G17/G$18</f>
        <v>3.3654219466418694E-2</v>
      </c>
      <c r="I17" s="106">
        <f>+G17/National!G17</f>
        <v>9.2234259447653288E-3</v>
      </c>
      <c r="J17" s="1"/>
      <c r="K17" s="1"/>
      <c r="L17" s="1"/>
      <c r="M17" s="1"/>
    </row>
    <row r="18" spans="1:14">
      <c r="A18" s="1"/>
      <c r="B18" s="1"/>
      <c r="C18" s="96"/>
      <c r="D18" s="96"/>
      <c r="E18" s="1"/>
      <c r="F18" s="109" t="s">
        <v>196</v>
      </c>
      <c r="G18" s="184">
        <f>SUM(G16:G17)</f>
        <v>2112068</v>
      </c>
      <c r="H18" s="185">
        <f>SUM(H13:H17)</f>
        <v>1</v>
      </c>
      <c r="I18" s="186">
        <f>+G18/National!G18</f>
        <v>8.254418564852796E-3</v>
      </c>
      <c r="J18" s="1"/>
      <c r="K18" s="1"/>
      <c r="L18" s="1"/>
      <c r="M18" s="1"/>
    </row>
    <row r="19" spans="1:14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  <c r="J19" s="1"/>
      <c r="K19" s="1"/>
      <c r="L19" s="1"/>
      <c r="M19" s="1"/>
    </row>
    <row r="20" spans="1:14">
      <c r="A20" s="146" t="s">
        <v>5</v>
      </c>
      <c r="B20" s="149">
        <f>450+206</f>
        <v>656</v>
      </c>
      <c r="C20" s="174">
        <f>B20/B$26</f>
        <v>6.5722243372673171E-3</v>
      </c>
      <c r="D20" s="77">
        <f>B20/National!B20</f>
        <v>1.403178541635473E-2</v>
      </c>
      <c r="E20" s="51"/>
      <c r="F20" s="163" t="s">
        <v>3</v>
      </c>
      <c r="G20" s="108">
        <v>443</v>
      </c>
      <c r="H20" s="189">
        <f>G20/G$23</f>
        <v>0.73833333333333329</v>
      </c>
      <c r="I20" s="92">
        <f>+G20/National!G20</f>
        <v>2.1290911712404478E-2</v>
      </c>
      <c r="J20" s="1"/>
      <c r="K20" s="1"/>
      <c r="L20" s="1"/>
      <c r="M20" s="1"/>
    </row>
    <row r="21" spans="1:14">
      <c r="A21" s="146" t="s">
        <v>7</v>
      </c>
      <c r="B21" s="157">
        <f>2235+616</f>
        <v>2851</v>
      </c>
      <c r="C21" s="175">
        <f t="shared" ref="C21:C25" si="0">B21/B$26</f>
        <v>2.8563127416995612E-2</v>
      </c>
      <c r="D21" s="78">
        <f>B21/National!B21</f>
        <v>1.7873935776710596E-2</v>
      </c>
      <c r="E21" s="51"/>
      <c r="F21" s="163" t="s">
        <v>2</v>
      </c>
      <c r="G21" s="198">
        <v>157</v>
      </c>
      <c r="H21" s="86">
        <f t="shared" ref="H21:H22" si="1">G21/G$23</f>
        <v>0.26166666666666666</v>
      </c>
      <c r="I21" s="106">
        <f>+G21/National!G21</f>
        <v>9.8395587866633247E-3</v>
      </c>
      <c r="J21" s="1"/>
      <c r="K21" s="1"/>
      <c r="L21" s="1"/>
      <c r="M21" s="1"/>
    </row>
    <row r="22" spans="1:14">
      <c r="A22" s="146" t="s">
        <v>6</v>
      </c>
      <c r="B22" s="157">
        <f>3057+1189</f>
        <v>4246</v>
      </c>
      <c r="C22" s="175">
        <f t="shared" si="0"/>
        <v>4.2539122768349126E-2</v>
      </c>
      <c r="D22" s="78">
        <f>B22/National!B22</f>
        <v>1.7604013350193827E-2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  <c r="J22" s="1"/>
      <c r="K22" s="1"/>
      <c r="L22" s="1"/>
      <c r="M22" s="1"/>
    </row>
    <row r="23" spans="1:14">
      <c r="A23" s="146" t="s">
        <v>30</v>
      </c>
      <c r="B23" s="157">
        <f>12764+6780+1104</f>
        <v>20648</v>
      </c>
      <c r="C23" s="175">
        <f t="shared" si="0"/>
        <v>0.20686476846935301</v>
      </c>
      <c r="D23" s="78">
        <f>B23/National!B23</f>
        <v>2.5982556654380908E-2</v>
      </c>
      <c r="E23" s="51"/>
      <c r="F23" s="9" t="s">
        <v>1</v>
      </c>
      <c r="G23" s="197">
        <f>SUM(G20:G22)</f>
        <v>600</v>
      </c>
      <c r="H23" s="132">
        <f>SUM(H20:H22)</f>
        <v>1</v>
      </c>
      <c r="I23" s="133">
        <f>+G23/National!G23</f>
        <v>1.6102627412039397E-2</v>
      </c>
      <c r="J23" s="1"/>
      <c r="K23" s="1"/>
      <c r="L23" s="1"/>
      <c r="M23" s="1"/>
    </row>
    <row r="24" spans="1:14">
      <c r="A24" s="146" t="s">
        <v>8</v>
      </c>
      <c r="B24" s="157">
        <f>62342+8970</f>
        <v>71312</v>
      </c>
      <c r="C24" s="175">
        <f t="shared" si="0"/>
        <v>0.71444887490732767</v>
      </c>
      <c r="D24" s="78">
        <f>B24/National!B24</f>
        <v>2.5566234444148073E-2</v>
      </c>
      <c r="E24" s="51"/>
      <c r="F24" s="51"/>
      <c r="G24" s="51"/>
      <c r="H24" s="87"/>
      <c r="I24" s="87"/>
      <c r="J24" s="1"/>
      <c r="K24" s="1"/>
      <c r="L24" s="1"/>
      <c r="M24" s="1"/>
    </row>
    <row r="25" spans="1:14" ht="15.75">
      <c r="A25" s="156" t="s">
        <v>29</v>
      </c>
      <c r="B25" s="150">
        <f>101</f>
        <v>101</v>
      </c>
      <c r="C25" s="175">
        <f t="shared" si="0"/>
        <v>1.0118821007073155E-3</v>
      </c>
      <c r="D25" s="78">
        <f>B25/National!B25</f>
        <v>8.9104543449492722E-3</v>
      </c>
      <c r="E25" s="51"/>
      <c r="F25" s="68" t="s">
        <v>37</v>
      </c>
      <c r="G25" s="51"/>
      <c r="H25" s="87"/>
      <c r="I25" s="87"/>
      <c r="J25" s="1"/>
      <c r="K25" s="1"/>
      <c r="L25" s="1"/>
      <c r="M25" s="1"/>
    </row>
    <row r="26" spans="1:14" ht="23.25">
      <c r="A26" s="22" t="s">
        <v>1</v>
      </c>
      <c r="B26" s="154">
        <f>SUM(B20:B25)</f>
        <v>99814</v>
      </c>
      <c r="C26" s="176">
        <f>SUM(C20:C25)</f>
        <v>1</v>
      </c>
      <c r="D26" s="177">
        <f>B26/National!B26</f>
        <v>2.4689458585160997E-2</v>
      </c>
      <c r="E26" s="51"/>
      <c r="F26" s="5" t="s">
        <v>191</v>
      </c>
      <c r="G26" s="55"/>
      <c r="H26" s="111"/>
      <c r="I26" s="118" t="s">
        <v>198</v>
      </c>
      <c r="J26" s="1"/>
      <c r="K26" s="1"/>
      <c r="L26" s="1"/>
      <c r="M26" s="1"/>
    </row>
    <row r="27" spans="1:14">
      <c r="B27" s="49"/>
      <c r="C27" s="96"/>
      <c r="D27" s="96"/>
      <c r="E27" s="51"/>
      <c r="F27" s="53" t="s">
        <v>14</v>
      </c>
      <c r="G27" s="56">
        <v>1084919</v>
      </c>
      <c r="H27" s="87"/>
      <c r="I27" s="113">
        <f>+G27/National!G27</f>
        <v>7.8572229767972564E-3</v>
      </c>
      <c r="J27" s="1"/>
      <c r="K27" s="1"/>
      <c r="L27" s="1"/>
      <c r="M27" s="1"/>
    </row>
    <row r="28" spans="1:14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1050900</v>
      </c>
      <c r="H28" s="87"/>
      <c r="I28" s="114">
        <f>+G28/National!G28</f>
        <v>7.9026527932309441E-3</v>
      </c>
      <c r="J28" s="1"/>
      <c r="K28" s="1"/>
      <c r="L28" s="1"/>
      <c r="M28" s="1"/>
    </row>
    <row r="29" spans="1:14">
      <c r="A29" s="146" t="s">
        <v>91</v>
      </c>
      <c r="B29" s="149">
        <f>15012+1418</f>
        <v>16430</v>
      </c>
      <c r="C29" s="174">
        <f>B29/B$34</f>
        <v>0.16461111500736392</v>
      </c>
      <c r="D29" s="77">
        <f>B29/National!B29</f>
        <v>2.107131543746385E-2</v>
      </c>
      <c r="E29" s="51"/>
      <c r="F29" s="51"/>
      <c r="G29" s="51"/>
      <c r="H29" s="87"/>
      <c r="I29" s="87"/>
      <c r="J29" s="1"/>
      <c r="K29" s="1"/>
      <c r="L29" s="1"/>
      <c r="M29" s="1"/>
      <c r="N29" s="1"/>
    </row>
    <row r="30" spans="1:14" ht="15" customHeight="1">
      <c r="A30" s="146" t="s">
        <v>92</v>
      </c>
      <c r="B30" s="157">
        <f>65661+478</f>
        <v>66139</v>
      </c>
      <c r="C30" s="175">
        <f t="shared" ref="C30:C33" si="2">B30/B$34</f>
        <v>0.66264239412489601</v>
      </c>
      <c r="D30" s="78">
        <f>B30/National!B30</f>
        <v>3.6989540537547695E-2</v>
      </c>
      <c r="E30" s="51"/>
      <c r="F30" s="5" t="s">
        <v>184</v>
      </c>
      <c r="G30" s="51"/>
      <c r="H30" s="89"/>
      <c r="I30" s="124" t="s">
        <v>198</v>
      </c>
      <c r="J30" s="1"/>
      <c r="K30" s="1"/>
      <c r="L30" s="1"/>
      <c r="M30" s="1"/>
      <c r="N30" s="1"/>
    </row>
    <row r="31" spans="1:14">
      <c r="A31" s="146" t="s">
        <v>93</v>
      </c>
      <c r="B31" s="157">
        <f>4781+9794</f>
        <v>14575</v>
      </c>
      <c r="C31" s="175">
        <f t="shared" si="2"/>
        <v>0.14602598911943573</v>
      </c>
      <c r="D31" s="78">
        <f>B31/National!B31</f>
        <v>1.1329716115792419E-2</v>
      </c>
      <c r="E31" s="51"/>
      <c r="F31" s="163" t="s">
        <v>16</v>
      </c>
      <c r="G31" s="168">
        <v>437868</v>
      </c>
      <c r="H31" s="92">
        <f>G31/G$38</f>
        <v>0.29123400723116583</v>
      </c>
      <c r="I31" s="112">
        <f>+G31/National!G31</f>
        <v>1.0365745079296525E-2</v>
      </c>
      <c r="J31" s="1"/>
      <c r="K31" s="1"/>
      <c r="L31" s="1"/>
      <c r="M31" s="1"/>
      <c r="N31" s="1"/>
    </row>
    <row r="32" spans="1:14">
      <c r="A32" s="146" t="s">
        <v>94</v>
      </c>
      <c r="B32" s="157">
        <v>1</v>
      </c>
      <c r="C32" s="175">
        <f t="shared" si="2"/>
        <v>1.0018935788640531E-5</v>
      </c>
      <c r="D32" s="78">
        <f>B32/National!B32</f>
        <v>1.7538628829998069E-5</v>
      </c>
      <c r="E32" s="51"/>
      <c r="F32" s="163" t="s">
        <v>17</v>
      </c>
      <c r="G32" s="169">
        <v>563631</v>
      </c>
      <c r="H32" s="106">
        <f t="shared" ref="H32:H37" si="3">G32/G$38</f>
        <v>0.37488127638856744</v>
      </c>
      <c r="I32" s="113">
        <f>+G32/National!G32</f>
        <v>9.0598101199746393E-3</v>
      </c>
      <c r="J32" s="1"/>
      <c r="K32" s="1"/>
      <c r="L32" s="1"/>
      <c r="M32" s="1"/>
      <c r="N32" s="1"/>
    </row>
    <row r="33" spans="1:14">
      <c r="A33" s="146" t="s">
        <v>95</v>
      </c>
      <c r="B33" s="150">
        <f>2173+493</f>
        <v>2666</v>
      </c>
      <c r="C33" s="175">
        <f t="shared" si="2"/>
        <v>2.6710482812515656E-2</v>
      </c>
      <c r="D33" s="78">
        <f>B33/National!B33</f>
        <v>2.0268831919228781E-2</v>
      </c>
      <c r="E33" s="51"/>
      <c r="F33" s="163" t="s">
        <v>18</v>
      </c>
      <c r="G33" s="169">
        <v>277505</v>
      </c>
      <c r="H33" s="106">
        <f t="shared" si="3"/>
        <v>0.1845736458857114</v>
      </c>
      <c r="I33" s="113">
        <f>+G33/National!G33</f>
        <v>8.7355476902416119E-3</v>
      </c>
      <c r="J33" s="1"/>
      <c r="K33" s="1"/>
      <c r="L33" s="1"/>
      <c r="M33" s="1"/>
      <c r="N33" s="1"/>
    </row>
    <row r="34" spans="1:14">
      <c r="A34" s="9" t="s">
        <v>1</v>
      </c>
      <c r="B34" s="154">
        <f>SUM(B29:B33)</f>
        <v>99811</v>
      </c>
      <c r="C34" s="176">
        <f>SUM(C29:C33)</f>
        <v>1</v>
      </c>
      <c r="D34" s="180">
        <f>B34/National!B34</f>
        <v>2.4688777590007639E-2</v>
      </c>
      <c r="E34" s="51"/>
      <c r="F34" s="163" t="s">
        <v>19</v>
      </c>
      <c r="G34" s="169">
        <v>61898</v>
      </c>
      <c r="H34" s="106">
        <f t="shared" si="3"/>
        <v>4.1169490758846738E-2</v>
      </c>
      <c r="I34" s="113">
        <f>+G34/National!G34</f>
        <v>7.2075357628753568E-3</v>
      </c>
      <c r="J34" s="1"/>
      <c r="K34" s="1"/>
      <c r="L34" s="1"/>
      <c r="M34" s="1"/>
      <c r="N34" s="1"/>
    </row>
    <row r="35" spans="1:14">
      <c r="B35" s="49"/>
      <c r="C35" s="96"/>
      <c r="D35" s="96"/>
      <c r="E35" s="51"/>
      <c r="F35" s="163" t="s">
        <v>20</v>
      </c>
      <c r="G35" s="169">
        <v>85782</v>
      </c>
      <c r="H35" s="106">
        <f t="shared" si="3"/>
        <v>5.7055175551316534E-2</v>
      </c>
      <c r="I35" s="113">
        <f>+G35/National!G35</f>
        <v>6.4342659201052019E-3</v>
      </c>
      <c r="J35" s="1"/>
      <c r="K35" s="1"/>
      <c r="L35" s="1"/>
      <c r="M35" s="1"/>
      <c r="N35" s="1"/>
    </row>
    <row r="36" spans="1:14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76808</v>
      </c>
      <c r="H36" s="106">
        <f t="shared" si="3"/>
        <v>5.1086404184392066E-2</v>
      </c>
      <c r="I36" s="113">
        <f>+G36/National!G36</f>
        <v>4.8549448689304579E-3</v>
      </c>
      <c r="J36" s="1"/>
      <c r="K36" s="1"/>
      <c r="L36" s="1"/>
      <c r="M36" s="1"/>
      <c r="N36" s="1"/>
    </row>
    <row r="37" spans="1:14">
      <c r="A37" s="146" t="s">
        <v>5</v>
      </c>
      <c r="B37" s="149">
        <f>1801+959</f>
        <v>2760</v>
      </c>
      <c r="C37" s="174">
        <f>B37/B$43</f>
        <v>1.3526030257141598E-2</v>
      </c>
      <c r="D37" s="77">
        <f>B37/National!B37</f>
        <v>1.2922074273835609E-2</v>
      </c>
      <c r="E37" s="51"/>
      <c r="F37" s="163" t="s">
        <v>22</v>
      </c>
      <c r="G37" s="170">
        <v>0</v>
      </c>
      <c r="H37" s="106">
        <f t="shared" si="3"/>
        <v>0</v>
      </c>
      <c r="I37" s="114">
        <f>+G37/National!G37</f>
        <v>0</v>
      </c>
      <c r="J37" s="1"/>
      <c r="K37" s="1"/>
    </row>
    <row r="38" spans="1:14">
      <c r="A38" s="146" t="s">
        <v>7</v>
      </c>
      <c r="B38" s="157">
        <f>5797+2011</f>
        <v>7808</v>
      </c>
      <c r="C38" s="175">
        <f t="shared" ref="C38:C42" si="4">B38/B$43</f>
        <v>3.8264943568029564E-2</v>
      </c>
      <c r="D38" s="78">
        <f>B38/National!B38</f>
        <v>1.63512160798127E-2</v>
      </c>
      <c r="E38" s="51"/>
      <c r="F38" s="47" t="s">
        <v>1</v>
      </c>
      <c r="G38" s="187">
        <f>SUM(G31:G37)</f>
        <v>1503492</v>
      </c>
      <c r="H38" s="188">
        <f>SUM(H31:H37)</f>
        <v>1</v>
      </c>
      <c r="I38" s="188">
        <f>+G38/National!G39</f>
        <v>7.4696610043122206E-3</v>
      </c>
      <c r="J38" s="1"/>
      <c r="K38" s="1"/>
    </row>
    <row r="39" spans="1:14">
      <c r="A39" s="146" t="s">
        <v>6</v>
      </c>
      <c r="B39" s="157">
        <f>6357+2759</f>
        <v>9116</v>
      </c>
      <c r="C39" s="175">
        <f t="shared" si="4"/>
        <v>4.4675105733370579E-2</v>
      </c>
      <c r="D39" s="78">
        <f>B39/National!B39</f>
        <v>1.6494024625238607E-2</v>
      </c>
      <c r="E39" s="51"/>
      <c r="H39" s="87"/>
      <c r="I39" s="87"/>
      <c r="J39" s="1"/>
      <c r="K39" s="1"/>
    </row>
    <row r="40" spans="1:14" ht="23.25">
      <c r="A40" s="146" t="s">
        <v>30</v>
      </c>
      <c r="B40" s="157">
        <f>25520+2246+13561</f>
        <v>41327</v>
      </c>
      <c r="C40" s="175">
        <f t="shared" si="4"/>
        <v>0.20253270015829375</v>
      </c>
      <c r="D40" s="78">
        <f>B40/National!B40</f>
        <v>2.5688186306015562E-2</v>
      </c>
      <c r="E40" s="51"/>
      <c r="F40" s="5" t="s">
        <v>185</v>
      </c>
      <c r="G40" s="51"/>
      <c r="H40" s="87" t="s">
        <v>197</v>
      </c>
      <c r="I40" s="124" t="s">
        <v>198</v>
      </c>
      <c r="J40" s="1"/>
      <c r="K40" s="1"/>
    </row>
    <row r="41" spans="1:14">
      <c r="A41" s="146" t="s">
        <v>8</v>
      </c>
      <c r="B41" s="157">
        <f>124684+17940</f>
        <v>142624</v>
      </c>
      <c r="C41" s="175">
        <f t="shared" si="4"/>
        <v>0.6989625142733924</v>
      </c>
      <c r="D41" s="78">
        <f>B41/National!B41</f>
        <v>2.5566252775784049E-2</v>
      </c>
      <c r="E41" s="51"/>
      <c r="F41" s="163" t="s">
        <v>38</v>
      </c>
      <c r="G41" s="168">
        <v>648146</v>
      </c>
      <c r="H41" s="189">
        <f>G41/G$47</f>
        <v>0.44449031599708677</v>
      </c>
      <c r="I41" s="113">
        <f>+G41/National!G42</f>
        <v>7.1469934629885233E-3</v>
      </c>
      <c r="J41" s="1"/>
      <c r="K41" s="1"/>
    </row>
    <row r="42" spans="1:14">
      <c r="A42" s="156" t="s">
        <v>29</v>
      </c>
      <c r="B42" s="150">
        <v>416</v>
      </c>
      <c r="C42" s="175">
        <f t="shared" si="4"/>
        <v>2.0387060097720668E-3</v>
      </c>
      <c r="D42" s="78">
        <f>B42/National!B42</f>
        <v>7.8817733990147777E-3</v>
      </c>
      <c r="E42" s="51"/>
      <c r="F42" s="163" t="s">
        <v>39</v>
      </c>
      <c r="G42" s="169">
        <v>461981</v>
      </c>
      <c r="H42" s="86">
        <f t="shared" ref="H42:H46" si="5">G42/G$47</f>
        <v>0.31682071736098061</v>
      </c>
      <c r="I42" s="113">
        <f>+G42/National!G43</f>
        <v>1.0373283591617386E-2</v>
      </c>
      <c r="J42" s="1"/>
      <c r="K42" s="1"/>
    </row>
    <row r="43" spans="1:14">
      <c r="A43" s="9" t="s">
        <v>1</v>
      </c>
      <c r="B43" s="154">
        <f>SUM(B37:B42)</f>
        <v>204051</v>
      </c>
      <c r="C43" s="178">
        <f>SUM(C37:C42)</f>
        <v>0.99999999999999989</v>
      </c>
      <c r="D43" s="179">
        <f>B43/National!B43</f>
        <v>2.4051360866594398E-2</v>
      </c>
      <c r="E43" s="51"/>
      <c r="F43" s="163" t="s">
        <v>40</v>
      </c>
      <c r="G43" s="169">
        <v>127006</v>
      </c>
      <c r="H43" s="86">
        <f t="shared" si="5"/>
        <v>8.7099105870476715E-2</v>
      </c>
      <c r="I43" s="113">
        <f>+G43/National!G44</f>
        <v>9.6943929745686875E-3</v>
      </c>
      <c r="J43" s="1"/>
      <c r="K43" s="1"/>
    </row>
    <row r="44" spans="1:14">
      <c r="A44" s="1"/>
      <c r="B44" s="49"/>
      <c r="C44" s="96"/>
      <c r="D44" s="96"/>
      <c r="E44" s="51"/>
      <c r="F44" s="163" t="s">
        <v>41</v>
      </c>
      <c r="G44" s="169">
        <v>138939</v>
      </c>
      <c r="H44" s="86">
        <f t="shared" si="5"/>
        <v>9.528260610158705E-2</v>
      </c>
      <c r="I44" s="113">
        <f>+G44/National!G45</f>
        <v>9.4371815675452081E-3</v>
      </c>
      <c r="J44" s="1"/>
      <c r="K44" s="1"/>
    </row>
    <row r="45" spans="1:14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29193</v>
      </c>
      <c r="H45" s="86">
        <f t="shared" si="5"/>
        <v>2.002018957905002E-2</v>
      </c>
      <c r="I45" s="113">
        <f>+G45/National!G46</f>
        <v>3.5092569830824072E-3</v>
      </c>
      <c r="J45" s="1"/>
      <c r="K45" s="1"/>
    </row>
    <row r="46" spans="1:14">
      <c r="A46" s="8" t="s">
        <v>3</v>
      </c>
      <c r="B46" s="52">
        <v>19724</v>
      </c>
      <c r="C46" s="93">
        <f>B46/B$48</f>
        <v>0.59475921961221845</v>
      </c>
      <c r="D46" s="77">
        <f>B46/National!B48</f>
        <v>1.9914823842054567E-2</v>
      </c>
      <c r="E46" s="51"/>
      <c r="F46" s="163" t="s">
        <v>43</v>
      </c>
      <c r="G46" s="170">
        <v>52913</v>
      </c>
      <c r="H46" s="86">
        <f t="shared" si="5"/>
        <v>3.6287065090818818E-2</v>
      </c>
      <c r="I46" s="113">
        <f>+G46/National!G47</f>
        <v>6.6423358305643856E-3</v>
      </c>
      <c r="J46" s="1"/>
      <c r="K46" s="1"/>
    </row>
    <row r="47" spans="1:14">
      <c r="A47" s="8" t="s">
        <v>2</v>
      </c>
      <c r="B47" s="52">
        <v>13439</v>
      </c>
      <c r="C47" s="97">
        <f>B47/B$48</f>
        <v>0.40524078038778155</v>
      </c>
      <c r="D47" s="78">
        <f>B47/National!B49</f>
        <v>6.7767944083251853E-3</v>
      </c>
      <c r="E47" s="51"/>
      <c r="F47" s="9" t="s">
        <v>1</v>
      </c>
      <c r="G47" s="191">
        <f>SUM(G41:G46)</f>
        <v>1458178</v>
      </c>
      <c r="H47" s="182">
        <f>SUM(H41:H46)</f>
        <v>1</v>
      </c>
      <c r="I47" s="188">
        <f>+G47/National!G49</f>
        <v>8.0376082398071324E-3</v>
      </c>
      <c r="J47" s="1"/>
      <c r="K47" s="1"/>
    </row>
    <row r="48" spans="1:14">
      <c r="A48" s="9" t="s">
        <v>1</v>
      </c>
      <c r="B48" s="155">
        <f>SUM(B46:B47)</f>
        <v>33163</v>
      </c>
      <c r="C48" s="165">
        <f>SUM(C46:C47)</f>
        <v>1</v>
      </c>
      <c r="D48" s="177">
        <f>B48/National!B50</f>
        <v>1.1152816419926759E-2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 t="s">
        <v>197</v>
      </c>
      <c r="D50" s="119" t="s">
        <v>198</v>
      </c>
      <c r="E50" s="51"/>
      <c r="F50" s="163" t="s">
        <v>96</v>
      </c>
      <c r="G50" s="193">
        <v>387250</v>
      </c>
      <c r="H50" s="189">
        <f>G50/G$52</f>
        <v>0.86863190195058049</v>
      </c>
      <c r="I50" s="113">
        <f>+G50/National!G52</f>
        <v>1.2355742518386526E-2</v>
      </c>
    </row>
    <row r="51" spans="1:9">
      <c r="A51" s="146" t="s">
        <v>5</v>
      </c>
      <c r="B51" s="149">
        <f>4510+3890</f>
        <v>8400</v>
      </c>
      <c r="C51" s="174">
        <f>B51/B$57</f>
        <v>0.25329433404698004</v>
      </c>
      <c r="D51" s="77">
        <f>B51/National!B53</f>
        <v>1.1676705389772597E-2</v>
      </c>
      <c r="E51" s="51"/>
      <c r="F51" s="163" t="s">
        <v>97</v>
      </c>
      <c r="G51" s="194">
        <v>58566</v>
      </c>
      <c r="H51" s="86">
        <f>G51/G$52</f>
        <v>0.13136809804941948</v>
      </c>
      <c r="I51" s="113">
        <f>+G51/National!G53</f>
        <v>1.1613714598010522E-2</v>
      </c>
    </row>
    <row r="52" spans="1:9">
      <c r="A52" s="146" t="s">
        <v>7</v>
      </c>
      <c r="B52" s="157">
        <f>4577+3348</f>
        <v>7925</v>
      </c>
      <c r="C52" s="175">
        <f t="shared" ref="C52:C56" si="6">B52/B$57</f>
        <v>0.23897114253837107</v>
      </c>
      <c r="D52" s="78">
        <f>B52/National!B54</f>
        <v>1.1571589812328526E-2</v>
      </c>
      <c r="E52" s="51"/>
      <c r="F52" s="60" t="s">
        <v>1</v>
      </c>
      <c r="G52" s="190">
        <f>SUM(G50:G51)</f>
        <v>445816</v>
      </c>
      <c r="H52" s="185">
        <f>SUM(H50:H51)</f>
        <v>1</v>
      </c>
      <c r="I52" s="192">
        <f>+G52/National!G54</f>
        <v>1.2252898779819436E-2</v>
      </c>
    </row>
    <row r="53" spans="1:9">
      <c r="A53" s="146" t="s">
        <v>6</v>
      </c>
      <c r="B53" s="157">
        <f>3178+2863</f>
        <v>6041</v>
      </c>
      <c r="C53" s="175">
        <f t="shared" si="6"/>
        <v>0.18216084190211984</v>
      </c>
      <c r="D53" s="78">
        <f>B53/National!B55</f>
        <v>1.1419487039893537E-2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4765+714+1087</f>
        <v>6566</v>
      </c>
      <c r="C54" s="175">
        <f t="shared" si="6"/>
        <v>0.19799173778005608</v>
      </c>
      <c r="D54" s="78">
        <f>B54/National!B56</f>
        <v>1.5762927112666757E-2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1980+1347</f>
        <v>3327</v>
      </c>
      <c r="C55" s="175">
        <f t="shared" si="6"/>
        <v>0.10032264873503603</v>
      </c>
      <c r="D55" s="78">
        <f>B55/National!B57</f>
        <v>8.2950618576749895E-3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904</v>
      </c>
      <c r="C56" s="175">
        <f t="shared" si="6"/>
        <v>2.7259294997436904E-2</v>
      </c>
      <c r="D56" s="78">
        <f>B56/National!B58</f>
        <v>4.06065832973983E-3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33163</v>
      </c>
      <c r="C57" s="178">
        <f>SUM(C51:C56)</f>
        <v>1</v>
      </c>
      <c r="D57" s="177">
        <f>B57/National!B59</f>
        <v>1.1152816419926759E-2</v>
      </c>
      <c r="E57" s="51"/>
      <c r="F57" s="51"/>
      <c r="G57" s="51"/>
      <c r="H57" s="87"/>
      <c r="I57" s="87"/>
    </row>
    <row r="59" spans="1:9">
      <c r="A59" s="130"/>
    </row>
    <row r="60" spans="1:9">
      <c r="A60" s="131"/>
    </row>
  </sheetData>
  <hyperlinks>
    <hyperlink ref="F2" r:id="rId1"/>
  </hyperlinks>
  <pageMargins left="0.7" right="0.7" top="1" bottom="0.75" header="0.3" footer="0.3"/>
  <pageSetup scale="77" orientation="portrait" r:id="rId2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88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1814468</v>
      </c>
      <c r="C4" s="99"/>
      <c r="D4" s="77">
        <f>B4/National!B4</f>
        <v>5.9674723640806828E-3</v>
      </c>
      <c r="E4" s="1"/>
      <c r="F4" s="146" t="s">
        <v>10</v>
      </c>
      <c r="G4" s="195">
        <v>681850</v>
      </c>
      <c r="H4" s="189">
        <f>G4/G$6</f>
        <v>0.50101915901378913</v>
      </c>
      <c r="I4" s="112">
        <f>+G4/National!G4</f>
        <v>6.5804101022367105E-3</v>
      </c>
    </row>
    <row r="5" spans="1:9">
      <c r="A5" s="8" t="s">
        <v>167</v>
      </c>
      <c r="B5" s="50">
        <f>23364+714</f>
        <v>24078</v>
      </c>
      <c r="C5" s="100"/>
      <c r="D5" s="79">
        <f>B5/National!B5</f>
        <v>6.8066152905447751E-3</v>
      </c>
      <c r="E5" s="1"/>
      <c r="F5" s="146" t="s">
        <v>11</v>
      </c>
      <c r="G5" s="196">
        <v>679076</v>
      </c>
      <c r="H5" s="86">
        <f>G5/G$6</f>
        <v>0.49898084098621087</v>
      </c>
      <c r="I5" s="113">
        <f>+G5/National!G5</f>
        <v>6.48577059413105E-3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1360926</v>
      </c>
      <c r="H6" s="182">
        <f>SUM(H4:H5)</f>
        <v>1</v>
      </c>
      <c r="I6" s="183">
        <f>+G6/National!G6</f>
        <v>6.5328440560710552E-3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766898</v>
      </c>
      <c r="C8" s="174">
        <f>B8/B10</f>
        <v>0.72758512075534709</v>
      </c>
      <c r="D8" s="77">
        <f>B8/National!B8</f>
        <v>5.6139356033423011E-3</v>
      </c>
      <c r="E8" s="1"/>
      <c r="F8" s="146" t="s">
        <v>32</v>
      </c>
      <c r="G8" s="206">
        <f>32.2/100</f>
        <v>0.32200000000000001</v>
      </c>
      <c r="H8" s="87"/>
      <c r="I8" s="87"/>
    </row>
    <row r="9" spans="1:9">
      <c r="A9" s="146" t="s">
        <v>169</v>
      </c>
      <c r="B9" s="150">
        <v>287134</v>
      </c>
      <c r="C9" s="175">
        <f>B9/B10</f>
        <v>0.27241487924465291</v>
      </c>
      <c r="D9" s="78">
        <f>B9/National!B9</f>
        <v>7.4463406347498786E-3</v>
      </c>
      <c r="E9" s="1"/>
      <c r="F9" s="146" t="s">
        <v>31</v>
      </c>
      <c r="G9" s="207">
        <f>32.2/100</f>
        <v>0.32200000000000001</v>
      </c>
      <c r="H9" s="87"/>
      <c r="I9" s="87"/>
    </row>
    <row r="10" spans="1:9">
      <c r="A10" s="9" t="s">
        <v>9</v>
      </c>
      <c r="B10" s="152">
        <f>SUM(B8:B9)</f>
        <v>1054032</v>
      </c>
      <c r="C10" s="176">
        <f>SUM(C8:C9)</f>
        <v>1</v>
      </c>
      <c r="D10" s="165"/>
      <c r="E10" s="1"/>
      <c r="F10" s="146" t="s">
        <v>33</v>
      </c>
      <c r="G10" s="205">
        <f>32.2/100</f>
        <v>0.32200000000000001</v>
      </c>
      <c r="H10" s="87"/>
      <c r="I10" s="87"/>
    </row>
    <row r="11" spans="1:9">
      <c r="A11" s="146" t="s">
        <v>170</v>
      </c>
      <c r="B11" s="149">
        <v>17849</v>
      </c>
      <c r="C11" s="93">
        <f>B11/(B12+B11)</f>
        <v>2.3274281586338732E-2</v>
      </c>
      <c r="D11" s="77">
        <f>B11/National!B11</f>
        <v>4.7327302675189767E-3</v>
      </c>
      <c r="E11" s="1"/>
      <c r="G11" s="49"/>
      <c r="H11" s="87"/>
      <c r="I11" s="86"/>
    </row>
    <row r="12" spans="1:9" ht="23.25">
      <c r="A12" s="146" t="s">
        <v>171</v>
      </c>
      <c r="B12" s="150">
        <v>749049</v>
      </c>
      <c r="C12" s="95">
        <f>B12/(B11+B12)</f>
        <v>0.97672571841366129</v>
      </c>
      <c r="D12" s="79">
        <f>B12/National!B12</f>
        <v>5.6658193404440435E-3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700301</v>
      </c>
      <c r="H13" s="189">
        <f>G13/G$18</f>
        <v>0.48281137428341947</v>
      </c>
      <c r="I13" s="92">
        <f>+G13/National!G13</f>
        <v>5.1087087982731351E-3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699014</v>
      </c>
      <c r="H14" s="86">
        <f>G14/G$18</f>
        <v>0.48192407262498577</v>
      </c>
      <c r="I14" s="106">
        <f>+G14/National!G14</f>
        <v>6.3407468907355265E-3</v>
      </c>
    </row>
    <row r="15" spans="1:9">
      <c r="A15" s="146" t="s">
        <v>3</v>
      </c>
      <c r="B15" s="149">
        <v>33092</v>
      </c>
      <c r="C15" s="174">
        <f>B15/B$17</f>
        <v>0.86060543014667634</v>
      </c>
      <c r="D15" s="77">
        <f>B15/National!B15</f>
        <v>1.1115037209108607E-2</v>
      </c>
      <c r="E15" s="3"/>
      <c r="F15" s="146" t="s">
        <v>13</v>
      </c>
      <c r="G15" s="150">
        <v>2715</v>
      </c>
      <c r="H15" s="86">
        <f>G15/G$18</f>
        <v>1.8718135218705725E-3</v>
      </c>
      <c r="I15" s="106">
        <f>+G15/National!G15</f>
        <v>3.219464300113363E-3</v>
      </c>
    </row>
    <row r="16" spans="1:9">
      <c r="A16" s="146" t="s">
        <v>2</v>
      </c>
      <c r="B16" s="150">
        <v>5360</v>
      </c>
      <c r="C16" s="175">
        <f>B16/B$17</f>
        <v>0.13939456985332363</v>
      </c>
      <c r="D16" s="78">
        <f>B16/National!B16</f>
        <v>5.0303132683897364E-3</v>
      </c>
      <c r="E16" s="1"/>
      <c r="F16" s="9" t="s">
        <v>1</v>
      </c>
      <c r="G16" s="162">
        <v>1402030</v>
      </c>
      <c r="H16" s="105"/>
      <c r="I16" s="106"/>
    </row>
    <row r="17" spans="1:9">
      <c r="A17" s="9" t="s">
        <v>1</v>
      </c>
      <c r="B17" s="154">
        <f>SUM(B15:B16)</f>
        <v>38452</v>
      </c>
      <c r="C17" s="176">
        <f>SUM(C15:C16)</f>
        <v>1</v>
      </c>
      <c r="D17" s="177">
        <f>B17/National!B17</f>
        <v>9.5113051255971155E-3</v>
      </c>
      <c r="E17" s="1"/>
      <c r="F17" s="108" t="s">
        <v>35</v>
      </c>
      <c r="G17" s="117">
        <v>48435</v>
      </c>
      <c r="H17" s="105">
        <f>G17/G$18</f>
        <v>3.3392739569724189E-2</v>
      </c>
      <c r="I17" s="106">
        <f>+G17/National!G17</f>
        <v>6.2849836189463803E-3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1450465</v>
      </c>
      <c r="H18" s="185">
        <f>SUM(H13:H17)</f>
        <v>1</v>
      </c>
      <c r="I18" s="186">
        <f>+G18/National!G18</f>
        <v>5.6687309422183427E-3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355+199</f>
        <v>554</v>
      </c>
      <c r="C20" s="174">
        <f>B20/B$26</f>
        <v>1.4407573078123374E-2</v>
      </c>
      <c r="D20" s="77">
        <f>B20/National!B20</f>
        <v>1.1850013903445915E-2</v>
      </c>
      <c r="E20" s="51"/>
      <c r="F20" s="163" t="s">
        <v>3</v>
      </c>
      <c r="G20" s="108">
        <f>213+51</f>
        <v>264</v>
      </c>
      <c r="H20" s="189">
        <f>G20/G$23</f>
        <v>0.69473684210526321</v>
      </c>
      <c r="I20" s="92">
        <f>+G20/National!G20</f>
        <v>1.2688037679627048E-2</v>
      </c>
    </row>
    <row r="21" spans="1:9">
      <c r="A21" s="146" t="s">
        <v>7</v>
      </c>
      <c r="B21" s="157">
        <f>1052+334</f>
        <v>1386</v>
      </c>
      <c r="C21" s="175">
        <f t="shared" ref="C21:C25" si="0">B21/B$26</f>
        <v>3.6044939144907938E-2</v>
      </c>
      <c r="D21" s="78">
        <f>B21/National!B21</f>
        <v>8.6893283011297388E-3</v>
      </c>
      <c r="E21" s="51"/>
      <c r="F21" s="163" t="s">
        <v>2</v>
      </c>
      <c r="G21" s="198">
        <f>103+9</f>
        <v>112</v>
      </c>
      <c r="H21" s="86">
        <f t="shared" ref="H21:H22" si="1">G21/G$23</f>
        <v>0.29473684210526313</v>
      </c>
      <c r="I21" s="106">
        <f>+G21/National!G21</f>
        <v>7.0193030834795689E-3</v>
      </c>
    </row>
    <row r="22" spans="1:9">
      <c r="A22" s="146" t="s">
        <v>6</v>
      </c>
      <c r="B22" s="157">
        <f>1342+746</f>
        <v>2088</v>
      </c>
      <c r="C22" s="175">
        <f t="shared" si="0"/>
        <v>5.4301466763757411E-2</v>
      </c>
      <c r="D22" s="78">
        <f>B22/National!B22</f>
        <v>8.6568958726341762E-3</v>
      </c>
      <c r="E22" s="51"/>
      <c r="F22" s="163" t="s">
        <v>28</v>
      </c>
      <c r="G22" s="181">
        <v>4</v>
      </c>
      <c r="H22" s="86">
        <f t="shared" si="1"/>
        <v>1.0526315789473684E-2</v>
      </c>
      <c r="I22" s="106">
        <f>+G22/National!G22</f>
        <v>8.0321285140562242E-3</v>
      </c>
    </row>
    <row r="23" spans="1:9">
      <c r="A23" s="146" t="s">
        <v>30</v>
      </c>
      <c r="B23" s="157">
        <f>5651+736+2223</f>
        <v>8610</v>
      </c>
      <c r="C23" s="175">
        <f t="shared" si="0"/>
        <v>0.22391553105170081</v>
      </c>
      <c r="D23" s="78">
        <f>B23/National!B23</f>
        <v>1.0834454319751047E-2</v>
      </c>
      <c r="E23" s="51"/>
      <c r="F23" s="9" t="s">
        <v>1</v>
      </c>
      <c r="G23" s="197">
        <f>SUM(G20:G22)</f>
        <v>380</v>
      </c>
      <c r="H23" s="132">
        <f>SUM(H20:H22)</f>
        <v>1</v>
      </c>
      <c r="I23" s="133">
        <f>+G23/National!G23</f>
        <v>1.0198330694291619E-2</v>
      </c>
    </row>
    <row r="24" spans="1:9">
      <c r="A24" s="146" t="s">
        <v>8</v>
      </c>
      <c r="B24" s="157">
        <f>22469+3335</f>
        <v>25804</v>
      </c>
      <c r="C24" s="175">
        <f t="shared" si="0"/>
        <v>0.67107042546551543</v>
      </c>
      <c r="D24" s="78">
        <f>B24/National!B24</f>
        <v>9.2510533093560256E-3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10</v>
      </c>
      <c r="C25" s="175">
        <f t="shared" si="0"/>
        <v>2.6006449599500674E-4</v>
      </c>
      <c r="D25" s="78">
        <f>B25/National!B25</f>
        <v>8.8222320247022495E-4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38452</v>
      </c>
      <c r="C26" s="176">
        <f>SUM(C20:C25)</f>
        <v>1</v>
      </c>
      <c r="D26" s="177">
        <f>B26/National!B26</f>
        <v>9.5112815989401352E-3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1167332</v>
      </c>
      <c r="H27" s="87"/>
      <c r="I27" s="113">
        <f>+G27/National!G27</f>
        <v>8.4540761217664143E-3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1207679</v>
      </c>
      <c r="H28" s="87"/>
      <c r="I28" s="114">
        <f>+G28/National!G28</f>
        <v>9.0816136860560979E-3</v>
      </c>
    </row>
    <row r="29" spans="1:9">
      <c r="A29" s="146" t="s">
        <v>91</v>
      </c>
      <c r="B29" s="149">
        <f>31295+3074</f>
        <v>34369</v>
      </c>
      <c r="C29" s="174">
        <f>B29/B$34</f>
        <v>0.89381566628523879</v>
      </c>
      <c r="D29" s="77">
        <f>B29/National!B29</f>
        <v>4.4077908720036217E-2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0</f>
        <v>0</v>
      </c>
      <c r="C30" s="175">
        <f t="shared" ref="C30:C33" si="2">B30/B$34</f>
        <v>0</v>
      </c>
      <c r="D30" s="78">
        <f>B30/National!B30</f>
        <v>0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918+2244</f>
        <v>3162</v>
      </c>
      <c r="C31" s="175">
        <f t="shared" si="2"/>
        <v>8.2232393633621143E-2</v>
      </c>
      <c r="D31" s="78">
        <f>B31/National!B31</f>
        <v>2.4579459593918099E-3</v>
      </c>
      <c r="E31" s="51"/>
      <c r="F31" s="163" t="s">
        <v>16</v>
      </c>
      <c r="G31" s="168">
        <v>459161</v>
      </c>
      <c r="H31" s="92">
        <f>G31/G$38</f>
        <v>0.20094195163942211</v>
      </c>
      <c r="I31" s="112">
        <f>+G31/National!G31</f>
        <v>1.0869818932543305E-2</v>
      </c>
    </row>
    <row r="32" spans="1:9">
      <c r="A32" s="146" t="s">
        <v>94</v>
      </c>
      <c r="B32" s="157">
        <f>45+42</f>
        <v>87</v>
      </c>
      <c r="C32" s="175">
        <f t="shared" si="2"/>
        <v>2.2625611151565589E-3</v>
      </c>
      <c r="D32" s="78">
        <f>B32/National!B32</f>
        <v>1.5258607082098321E-3</v>
      </c>
      <c r="E32" s="51"/>
      <c r="F32" s="163" t="s">
        <v>17</v>
      </c>
      <c r="G32" s="169">
        <v>1420344</v>
      </c>
      <c r="H32" s="106">
        <f t="shared" ref="H32:H37" si="3">G32/G$38</f>
        <v>0.62158305117234114</v>
      </c>
      <c r="I32" s="113">
        <f>+G32/National!G32</f>
        <v>2.2830623129397175E-2</v>
      </c>
    </row>
    <row r="33" spans="1:9">
      <c r="A33" s="146" t="s">
        <v>95</v>
      </c>
      <c r="B33" s="150">
        <f>834</f>
        <v>834</v>
      </c>
      <c r="C33" s="175">
        <f t="shared" si="2"/>
        <v>2.1689378965983563E-2</v>
      </c>
      <c r="D33" s="78">
        <f>B33/National!B33</f>
        <v>6.3406623483258824E-3</v>
      </c>
      <c r="E33" s="51"/>
      <c r="F33" s="163" t="s">
        <v>18</v>
      </c>
      <c r="G33" s="169">
        <v>212437</v>
      </c>
      <c r="H33" s="106">
        <f t="shared" si="3"/>
        <v>9.2968491183754526E-2</v>
      </c>
      <c r="I33" s="113">
        <f>+G33/National!G33</f>
        <v>6.6872796694540902E-3</v>
      </c>
    </row>
    <row r="34" spans="1:9">
      <c r="A34" s="9" t="s">
        <v>1</v>
      </c>
      <c r="B34" s="154">
        <f>SUM(B29:B33)</f>
        <v>38452</v>
      </c>
      <c r="C34" s="176">
        <f>SUM(C29:C33)</f>
        <v>1</v>
      </c>
      <c r="D34" s="180">
        <f>B34/National!B34</f>
        <v>9.5113051255971155E-3</v>
      </c>
      <c r="E34" s="51"/>
      <c r="F34" s="163" t="s">
        <v>19</v>
      </c>
      <c r="G34" s="169">
        <v>54659</v>
      </c>
      <c r="H34" s="106">
        <f t="shared" si="3"/>
        <v>2.3920337604150119E-2</v>
      </c>
      <c r="I34" s="113">
        <f>+G34/National!G34</f>
        <v>6.3646110902291532E-3</v>
      </c>
    </row>
    <row r="35" spans="1:9">
      <c r="B35" s="49"/>
      <c r="C35" s="96"/>
      <c r="D35" s="96"/>
      <c r="E35" s="51"/>
      <c r="F35" s="163" t="s">
        <v>20</v>
      </c>
      <c r="G35" s="169">
        <v>440</v>
      </c>
      <c r="H35" s="106">
        <f t="shared" si="3"/>
        <v>1.9255655145220462E-4</v>
      </c>
      <c r="I35" s="113">
        <f>+G35/National!G35</f>
        <v>3.3003159227417047E-5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25160</v>
      </c>
      <c r="H36" s="106">
        <f t="shared" si="3"/>
        <v>1.1010733714857883E-2</v>
      </c>
      <c r="I36" s="113">
        <f>+G36/National!G36</f>
        <v>1.5903345081539723E-3</v>
      </c>
    </row>
    <row r="37" spans="1:9">
      <c r="A37" s="146" t="s">
        <v>5</v>
      </c>
      <c r="B37" s="149">
        <f>1458+858</f>
        <v>2316</v>
      </c>
      <c r="C37" s="174">
        <f>B37/B$43</f>
        <v>2.9263115334074597E-2</v>
      </c>
      <c r="D37" s="77">
        <f>B37/National!B37</f>
        <v>1.0843305803696838E-2</v>
      </c>
      <c r="E37" s="51"/>
      <c r="F37" s="163" t="s">
        <v>22</v>
      </c>
      <c r="G37" s="170">
        <v>112842</v>
      </c>
      <c r="H37" s="106">
        <f t="shared" si="3"/>
        <v>4.9382878134021986E-2</v>
      </c>
      <c r="I37" s="114">
        <f>+G37/National!G37</f>
        <v>4.398240781641311E-3</v>
      </c>
    </row>
    <row r="38" spans="1:9">
      <c r="A38" s="146" t="s">
        <v>7</v>
      </c>
      <c r="B38" s="157">
        <f>2645+1041</f>
        <v>3686</v>
      </c>
      <c r="C38" s="175">
        <f t="shared" ref="C38:C42" si="4">B38/B$43</f>
        <v>4.6573334681087639E-2</v>
      </c>
      <c r="D38" s="78">
        <f>B38/National!B38</f>
        <v>7.7190807466943658E-3</v>
      </c>
      <c r="E38" s="51"/>
      <c r="F38" s="47" t="s">
        <v>1</v>
      </c>
      <c r="G38" s="187">
        <f>SUM(G31:G37)</f>
        <v>2285043</v>
      </c>
      <c r="H38" s="188">
        <f>SUM(H31:H37)</f>
        <v>0.99999999999999989</v>
      </c>
      <c r="I38" s="188">
        <f>+G38/National!G39</f>
        <v>1.1352568946343984E-2</v>
      </c>
    </row>
    <row r="39" spans="1:9">
      <c r="A39" s="146" t="s">
        <v>6</v>
      </c>
      <c r="B39" s="157">
        <f>2709+1561</f>
        <v>4270</v>
      </c>
      <c r="C39" s="175">
        <f t="shared" si="4"/>
        <v>5.3952289497624581E-2</v>
      </c>
      <c r="D39" s="78">
        <f>B39/National!B39</f>
        <v>7.7259198277499844E-3</v>
      </c>
      <c r="E39" s="51"/>
      <c r="H39" s="87"/>
      <c r="I39" s="87"/>
    </row>
    <row r="40" spans="1:9" ht="23.25">
      <c r="A40" s="146" t="s">
        <v>30</v>
      </c>
      <c r="B40" s="157">
        <f>11308+4446+1475</f>
        <v>17229</v>
      </c>
      <c r="C40" s="175">
        <f t="shared" si="4"/>
        <v>0.21769180228444354</v>
      </c>
      <c r="D40" s="78">
        <f>B40/National!B40</f>
        <v>1.070926420660445E-2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6669+44938</f>
        <v>51607</v>
      </c>
      <c r="C41" s="175">
        <f t="shared" si="4"/>
        <v>0.6520645911250379</v>
      </c>
      <c r="D41" s="78">
        <f>B41/National!B41</f>
        <v>9.2508806862792205E-3</v>
      </c>
      <c r="E41" s="51"/>
      <c r="F41" s="163" t="s">
        <v>38</v>
      </c>
      <c r="G41" s="168">
        <v>673764</v>
      </c>
      <c r="H41" s="189">
        <f>G41/G$47</f>
        <v>0.5002910723938625</v>
      </c>
      <c r="I41" s="113">
        <f>+G41/National!G42</f>
        <v>7.429478703250501E-3</v>
      </c>
    </row>
    <row r="42" spans="1:9">
      <c r="A42" s="156" t="s">
        <v>29</v>
      </c>
      <c r="B42" s="150">
        <v>36</v>
      </c>
      <c r="C42" s="175">
        <f t="shared" si="4"/>
        <v>4.5486707773172949E-4</v>
      </c>
      <c r="D42" s="78">
        <f>B42/National!B42</f>
        <v>6.8207654414550968E-4</v>
      </c>
      <c r="E42" s="51"/>
      <c r="F42" s="163" t="s">
        <v>39</v>
      </c>
      <c r="G42" s="169">
        <v>339894</v>
      </c>
      <c r="H42" s="86">
        <f t="shared" ref="H42:H46" si="5">G42/G$47</f>
        <v>0.25238204142732396</v>
      </c>
      <c r="I42" s="113">
        <f>+G42/National!G43</f>
        <v>7.6319520783088481E-3</v>
      </c>
    </row>
    <row r="43" spans="1:9">
      <c r="A43" s="9" t="s">
        <v>1</v>
      </c>
      <c r="B43" s="154">
        <f>SUM(B37:B42)</f>
        <v>79144</v>
      </c>
      <c r="C43" s="178">
        <f>SUM(C37:C42)</f>
        <v>0.99999999999999989</v>
      </c>
      <c r="D43" s="179">
        <f>B43/National!B43</f>
        <v>9.3286526624507937E-3</v>
      </c>
      <c r="E43" s="51"/>
      <c r="F43" s="163" t="s">
        <v>40</v>
      </c>
      <c r="G43" s="169">
        <v>89666</v>
      </c>
      <c r="H43" s="86">
        <f t="shared" si="5"/>
        <v>6.6579839969585899E-2</v>
      </c>
      <c r="I43" s="113">
        <f>+G43/National!G44</f>
        <v>6.844223426119048E-3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187525</v>
      </c>
      <c r="H44" s="86">
        <f t="shared" si="5"/>
        <v>0.13924324147722211</v>
      </c>
      <c r="I44" s="113">
        <f>+G44/National!G45</f>
        <v>1.2737298191680631E-2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28966</v>
      </c>
      <c r="H45" s="86">
        <f t="shared" si="5"/>
        <v>2.1508170817913428E-2</v>
      </c>
      <c r="I45" s="113">
        <f>+G45/National!G46</f>
        <v>3.4819695739377594E-3</v>
      </c>
    </row>
    <row r="46" spans="1:9">
      <c r="A46" s="8" t="s">
        <v>3</v>
      </c>
      <c r="B46" s="52">
        <v>12113</v>
      </c>
      <c r="C46" s="93">
        <f>B46/B$48</f>
        <v>0.58308462501203429</v>
      </c>
      <c r="D46" s="77">
        <f>B46/National!B48</f>
        <v>1.2230189677489706E-2</v>
      </c>
      <c r="E46" s="51"/>
      <c r="F46" s="163" t="s">
        <v>43</v>
      </c>
      <c r="G46" s="170">
        <v>26929</v>
      </c>
      <c r="H46" s="86">
        <f t="shared" si="5"/>
        <v>1.9995633914092061E-2</v>
      </c>
      <c r="I46" s="113">
        <f>+G46/National!G47</f>
        <v>3.3804823310201338E-3</v>
      </c>
    </row>
    <row r="47" spans="1:9">
      <c r="A47" s="8" t="s">
        <v>2</v>
      </c>
      <c r="B47" s="52">
        <v>8661</v>
      </c>
      <c r="C47" s="97">
        <f>B47/B$48</f>
        <v>0.41691537498796571</v>
      </c>
      <c r="D47" s="78">
        <f>B47/National!B49</f>
        <v>4.3674243895010364E-3</v>
      </c>
      <c r="E47" s="51"/>
      <c r="F47" s="9" t="s">
        <v>1</v>
      </c>
      <c r="G47" s="191">
        <f>SUM(G41:G46)</f>
        <v>1346744</v>
      </c>
      <c r="H47" s="182">
        <f>SUM(H41:H46)</f>
        <v>1</v>
      </c>
      <c r="I47" s="188">
        <f>+G47/National!G49</f>
        <v>7.4233740128508427E-3</v>
      </c>
    </row>
    <row r="48" spans="1:9">
      <c r="A48" s="9" t="s">
        <v>1</v>
      </c>
      <c r="B48" s="155">
        <f>SUM(B46:B47)</f>
        <v>20774</v>
      </c>
      <c r="C48" s="165">
        <f>SUM(C46:C47)</f>
        <v>1</v>
      </c>
      <c r="D48" s="177">
        <f>B48/National!B50</f>
        <v>6.9863585413731727E-3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201315</v>
      </c>
      <c r="H50" s="189">
        <f>G50/G$52</f>
        <v>0.86406850226409426</v>
      </c>
      <c r="I50" s="113">
        <f>+G50/National!G52</f>
        <v>6.4232312591064773E-3</v>
      </c>
    </row>
    <row r="51" spans="1:9">
      <c r="A51" s="146" t="s">
        <v>5</v>
      </c>
      <c r="B51" s="149">
        <f>3195+3094</f>
        <v>6289</v>
      </c>
      <c r="C51" s="174">
        <f>B51/B$57</f>
        <v>0.30273418696447485</v>
      </c>
      <c r="D51" s="77">
        <f>B51/National!B53</f>
        <v>8.7422381186047452E-3</v>
      </c>
      <c r="E51" s="51"/>
      <c r="F51" s="163" t="s">
        <v>97</v>
      </c>
      <c r="G51" s="194">
        <v>31670</v>
      </c>
      <c r="H51" s="86">
        <f>G51/G$52</f>
        <v>0.13593149773590574</v>
      </c>
      <c r="I51" s="113">
        <f>+G51/National!G53</f>
        <v>6.2802025290952645E-3</v>
      </c>
    </row>
    <row r="52" spans="1:9">
      <c r="A52" s="146" t="s">
        <v>7</v>
      </c>
      <c r="B52" s="157">
        <f>2611+2010</f>
        <v>4621</v>
      </c>
      <c r="C52" s="175">
        <f t="shared" ref="C52:C56" si="6">B52/B$57</f>
        <v>0.22244151343024934</v>
      </c>
      <c r="D52" s="78">
        <f>B52/National!B54</f>
        <v>6.74729546028645E-3</v>
      </c>
      <c r="E52" s="51"/>
      <c r="F52" s="60" t="s">
        <v>1</v>
      </c>
      <c r="G52" s="190">
        <f>SUM(G50:G51)</f>
        <v>232985</v>
      </c>
      <c r="H52" s="185">
        <f>SUM(H50:H51)</f>
        <v>1</v>
      </c>
      <c r="I52" s="192">
        <f>+G52/National!G54</f>
        <v>6.4034077337202597E-3</v>
      </c>
    </row>
    <row r="53" spans="1:9">
      <c r="A53" s="146" t="s">
        <v>6</v>
      </c>
      <c r="B53" s="157">
        <f>1576+2193</f>
        <v>3769</v>
      </c>
      <c r="C53" s="175">
        <f t="shared" si="6"/>
        <v>0.18142870896312699</v>
      </c>
      <c r="D53" s="78">
        <f>B53/National!B55</f>
        <v>7.124655959834256E-3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3286+374+681</f>
        <v>4341</v>
      </c>
      <c r="C54" s="175">
        <f t="shared" si="6"/>
        <v>0.20896312698565514</v>
      </c>
      <c r="D54" s="78">
        <f>B54/National!B56</f>
        <v>1.0421393024076514E-2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1071+602</f>
        <v>1673</v>
      </c>
      <c r="C55" s="175">
        <f t="shared" si="6"/>
        <v>8.0533359006450367E-2</v>
      </c>
      <c r="D55" s="78">
        <f>B55/National!B57</f>
        <v>4.1712168583980334E-3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81</v>
      </c>
      <c r="C56" s="175">
        <f t="shared" si="6"/>
        <v>3.8991046500433234E-3</v>
      </c>
      <c r="D56" s="78">
        <f>B56/National!B58</f>
        <v>3.6384217335058217E-4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20774</v>
      </c>
      <c r="C57" s="178">
        <f>SUM(C51:C56)</f>
        <v>0.99999999999999989</v>
      </c>
      <c r="D57" s="177">
        <f>B57/National!B59</f>
        <v>6.9863585413731727E-3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89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5627967</v>
      </c>
      <c r="C4" s="99"/>
      <c r="D4" s="77">
        <f>B4/National!B4</f>
        <v>1.8509412973090774E-2</v>
      </c>
      <c r="E4" s="1"/>
      <c r="F4" s="146" t="s">
        <v>10</v>
      </c>
      <c r="G4" s="195">
        <v>2049900</v>
      </c>
      <c r="H4" s="189">
        <f>G4/G$6</f>
        <v>0.50294864962740726</v>
      </c>
      <c r="I4" s="112">
        <f>+G4/National!G4</f>
        <v>1.9783211364046392E-2</v>
      </c>
    </row>
    <row r="5" spans="1:9">
      <c r="A5" s="8" t="s">
        <v>167</v>
      </c>
      <c r="B5" s="50">
        <f>52611+1699</f>
        <v>54310</v>
      </c>
      <c r="C5" s="100"/>
      <c r="D5" s="79">
        <f>B5/National!B5</f>
        <v>1.5352906239284274E-2</v>
      </c>
      <c r="E5" s="1"/>
      <c r="F5" s="146" t="s">
        <v>11</v>
      </c>
      <c r="G5" s="196">
        <v>2025864</v>
      </c>
      <c r="H5" s="86">
        <f>G5/G$6</f>
        <v>0.49705135037259274</v>
      </c>
      <c r="I5" s="113">
        <f>+G5/National!G5</f>
        <v>1.9348775628808417E-2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4075764</v>
      </c>
      <c r="H6" s="182">
        <f>SUM(H4:H5)</f>
        <v>1</v>
      </c>
      <c r="I6" s="183">
        <f>+G6/National!G6</f>
        <v>1.956486291050975E-2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2511571</v>
      </c>
      <c r="C8" s="174">
        <f>B8/B10</f>
        <v>0.77075107668871501</v>
      </c>
      <c r="D8" s="77">
        <f>B8/National!B8</f>
        <v>1.8385493060644343E-2</v>
      </c>
      <c r="E8" s="1"/>
      <c r="F8" s="146" t="s">
        <v>32</v>
      </c>
      <c r="G8" s="206">
        <f>30.9/100</f>
        <v>0.309</v>
      </c>
      <c r="H8" s="87"/>
      <c r="I8" s="87"/>
    </row>
    <row r="9" spans="1:9">
      <c r="A9" s="146" t="s">
        <v>169</v>
      </c>
      <c r="B9" s="150">
        <v>747031</v>
      </c>
      <c r="C9" s="175">
        <f>B9/B10</f>
        <v>0.22924892331128502</v>
      </c>
      <c r="D9" s="78">
        <f>B9/National!B9</f>
        <v>1.9373001075169909E-2</v>
      </c>
      <c r="E9" s="1"/>
      <c r="F9" s="146" t="s">
        <v>31</v>
      </c>
      <c r="G9" s="207">
        <f>30.9/100</f>
        <v>0.309</v>
      </c>
      <c r="H9" s="87"/>
      <c r="I9" s="87"/>
    </row>
    <row r="10" spans="1:9">
      <c r="A10" s="9" t="s">
        <v>9</v>
      </c>
      <c r="B10" s="152">
        <f>SUM(B8:B9)</f>
        <v>3258602</v>
      </c>
      <c r="C10" s="176">
        <f>SUM(C8:C9)</f>
        <v>1</v>
      </c>
      <c r="D10" s="165"/>
      <c r="E10" s="1"/>
      <c r="F10" s="146" t="s">
        <v>33</v>
      </c>
      <c r="G10" s="205">
        <f>30.9/100</f>
        <v>0.309</v>
      </c>
      <c r="H10" s="87"/>
      <c r="I10" s="87"/>
    </row>
    <row r="11" spans="1:9">
      <c r="A11" s="146" t="s">
        <v>170</v>
      </c>
      <c r="B11" s="149">
        <v>75009</v>
      </c>
      <c r="C11" s="93">
        <f>B11/(B12+B11)</f>
        <v>3.0167057182638408E-2</v>
      </c>
      <c r="D11" s="77">
        <f>B11/National!B11</f>
        <v>1.9888921767960723E-2</v>
      </c>
      <c r="E11" s="1"/>
      <c r="G11" s="49"/>
      <c r="H11" s="87"/>
      <c r="I11" s="86"/>
    </row>
    <row r="12" spans="1:9" ht="23.25">
      <c r="A12" s="146" t="s">
        <v>171</v>
      </c>
      <c r="B12" s="150">
        <v>2411445</v>
      </c>
      <c r="C12" s="95">
        <f>B12/(B11+B12)</f>
        <v>0.96983294281736154</v>
      </c>
      <c r="D12" s="79">
        <f>B12/National!B12</f>
        <v>1.8240210879951896E-2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2659162</v>
      </c>
      <c r="H13" s="189">
        <f>G13/G$18</f>
        <v>0.50084586752934734</v>
      </c>
      <c r="I13" s="92">
        <f>+G13/National!G13</f>
        <v>1.9398636165639613E-2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2325677</v>
      </c>
      <c r="H14" s="86">
        <f>G14/G$18</f>
        <v>0.43803488266530954</v>
      </c>
      <c r="I14" s="106">
        <f>+G14/National!G14</f>
        <v>2.1096185779691287E-2</v>
      </c>
    </row>
    <row r="15" spans="1:9">
      <c r="A15" s="146" t="s">
        <v>3</v>
      </c>
      <c r="B15" s="149">
        <v>92572</v>
      </c>
      <c r="C15" s="174">
        <f>B15/B$17</f>
        <v>0.80607437980547358</v>
      </c>
      <c r="D15" s="77">
        <f>B15/National!B15</f>
        <v>3.1093352608533843E-2</v>
      </c>
      <c r="E15" s="3"/>
      <c r="F15" s="146" t="s">
        <v>13</v>
      </c>
      <c r="G15" s="150">
        <v>14064</v>
      </c>
      <c r="H15" s="86">
        <f>G15/G$18</f>
        <v>2.6489158166868891E-3</v>
      </c>
      <c r="I15" s="106">
        <f>+G15/National!G15</f>
        <v>1.6677180816498837E-2</v>
      </c>
    </row>
    <row r="16" spans="1:9">
      <c r="A16" s="146" t="s">
        <v>2</v>
      </c>
      <c r="B16" s="150">
        <v>22271</v>
      </c>
      <c r="C16" s="175">
        <f>B16/B$17</f>
        <v>0.19392562019452644</v>
      </c>
      <c r="D16" s="78">
        <f>B16/National!B16</f>
        <v>2.0901139328415638E-2</v>
      </c>
      <c r="E16" s="1"/>
      <c r="F16" s="9" t="s">
        <v>1</v>
      </c>
      <c r="G16" s="162">
        <v>4998903</v>
      </c>
      <c r="H16" s="105"/>
      <c r="I16" s="106"/>
    </row>
    <row r="17" spans="1:9">
      <c r="A17" s="9" t="s">
        <v>1</v>
      </c>
      <c r="B17" s="154">
        <f>SUM(B15:B16)</f>
        <v>114843</v>
      </c>
      <c r="C17" s="176">
        <f>SUM(C15:C16)</f>
        <v>1</v>
      </c>
      <c r="D17" s="177">
        <f>B17/National!B17</f>
        <v>2.8407022119498325E-2</v>
      </c>
      <c r="E17" s="1"/>
      <c r="F17" s="108" t="s">
        <v>35</v>
      </c>
      <c r="G17" s="117">
        <v>310439</v>
      </c>
      <c r="H17" s="105">
        <f>G17/G$18</f>
        <v>5.8470333988656219E-2</v>
      </c>
      <c r="I17" s="106">
        <f>+G17/National!G17</f>
        <v>4.0282936506288745E-2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5309342</v>
      </c>
      <c r="H18" s="185">
        <f>SUM(H13:H17)</f>
        <v>1</v>
      </c>
      <c r="I18" s="186">
        <f>+G18/National!G18</f>
        <v>2.0750056897766871E-2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478+265</f>
        <v>743</v>
      </c>
      <c r="C20" s="174">
        <f>B20/B$26</f>
        <v>6.4696457803629275E-3</v>
      </c>
      <c r="D20" s="77">
        <f>B20/National!B20</f>
        <v>1.589270817736519E-2</v>
      </c>
      <c r="E20" s="51"/>
      <c r="F20" s="163" t="s">
        <v>3</v>
      </c>
      <c r="G20" s="108">
        <f>289+124</f>
        <v>413</v>
      </c>
      <c r="H20" s="189">
        <f>G20/G$23</f>
        <v>0.68264462809917359</v>
      </c>
      <c r="I20" s="92">
        <f>+G20/National!G20</f>
        <v>1.9849089248810497E-2</v>
      </c>
    </row>
    <row r="21" spans="1:9">
      <c r="A21" s="146" t="s">
        <v>7</v>
      </c>
      <c r="B21" s="157">
        <f>3179+1929</f>
        <v>5108</v>
      </c>
      <c r="C21" s="175">
        <f t="shared" ref="C21:C25" si="0">B21/B$26</f>
        <v>4.4477726306990352E-2</v>
      </c>
      <c r="D21" s="78">
        <f>B21/National!B21</f>
        <v>3.2023873710079871E-2</v>
      </c>
      <c r="E21" s="51"/>
      <c r="F21" s="163" t="s">
        <v>2</v>
      </c>
      <c r="G21" s="198">
        <f>166+26</f>
        <v>192</v>
      </c>
      <c r="H21" s="86">
        <f t="shared" ref="H21:H22" si="1">G21/G$23</f>
        <v>0.31735537190082647</v>
      </c>
      <c r="I21" s="106">
        <f>+G21/National!G21</f>
        <v>1.2033091000250689E-2</v>
      </c>
    </row>
    <row r="22" spans="1:9">
      <c r="A22" s="146" t="s">
        <v>6</v>
      </c>
      <c r="B22" s="157">
        <f>4831+2490</f>
        <v>7321</v>
      </c>
      <c r="C22" s="175">
        <f t="shared" si="0"/>
        <v>6.3747344223468352E-2</v>
      </c>
      <c r="D22" s="78">
        <f>B22/National!B22</f>
        <v>3.0353033852277202E-2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12480+6921+2302</f>
        <v>21703</v>
      </c>
      <c r="C23" s="175">
        <f t="shared" si="0"/>
        <v>0.18897809202047997</v>
      </c>
      <c r="D23" s="78">
        <f>B23/National!B23</f>
        <v>2.7310123356742971E-2</v>
      </c>
      <c r="E23" s="51"/>
      <c r="F23" s="9" t="s">
        <v>1</v>
      </c>
      <c r="G23" s="197">
        <f>SUM(G20:G22)</f>
        <v>605</v>
      </c>
      <c r="H23" s="132">
        <f>SUM(H20:H22)</f>
        <v>1</v>
      </c>
      <c r="I23" s="133">
        <f>+G23/National!G23</f>
        <v>1.6236815973806391E-2</v>
      </c>
    </row>
    <row r="24" spans="1:9">
      <c r="A24" s="146" t="s">
        <v>8</v>
      </c>
      <c r="B24" s="157">
        <f>64683+14995</f>
        <v>79678</v>
      </c>
      <c r="C24" s="175">
        <f t="shared" si="0"/>
        <v>0.69379331963358992</v>
      </c>
      <c r="D24" s="78">
        <f>B24/National!B24</f>
        <v>2.8565548968488196E-2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291</v>
      </c>
      <c r="C25" s="175">
        <f t="shared" si="0"/>
        <v>2.5338720351084951E-3</v>
      </c>
      <c r="D25" s="78">
        <f>B25/National!B25</f>
        <v>2.5672695191883546E-2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114844</v>
      </c>
      <c r="C26" s="176">
        <f>SUM(C20:C25)</f>
        <v>1</v>
      </c>
      <c r="D26" s="177">
        <f>B26/National!B26</f>
        <v>2.8407199208069302E-2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2187975</v>
      </c>
      <c r="H27" s="87"/>
      <c r="I27" s="113">
        <f>+G27/National!G27</f>
        <v>1.5845798112723603E-2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2392429</v>
      </c>
      <c r="H28" s="87"/>
      <c r="I28" s="114">
        <f>+G28/National!G28</f>
        <v>1.7990803805744329E-2</v>
      </c>
    </row>
    <row r="29" spans="1:9">
      <c r="A29" s="146" t="s">
        <v>91</v>
      </c>
      <c r="B29" s="149">
        <f>9730+2040</f>
        <v>11770</v>
      </c>
      <c r="C29" s="174">
        <f>B29/B$34</f>
        <v>0.10248685172930236</v>
      </c>
      <c r="D29" s="77">
        <f>B29/National!B29</f>
        <v>1.5094910693788771E-2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19221+1496</f>
        <v>20717</v>
      </c>
      <c r="C30" s="175">
        <f t="shared" ref="C30:C33" si="2">B30/B$34</f>
        <v>0.18039253247884085</v>
      </c>
      <c r="D30" s="78">
        <f>B30/National!B30</f>
        <v>1.1586390954147712E-2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62770+18679</f>
        <v>81449</v>
      </c>
      <c r="C31" s="175">
        <f t="shared" si="2"/>
        <v>0.70921423844519527</v>
      </c>
      <c r="D31" s="78">
        <f>B31/National!B31</f>
        <v>6.3313485277199086E-2</v>
      </c>
      <c r="E31" s="51"/>
      <c r="F31" s="163" t="s">
        <v>16</v>
      </c>
      <c r="G31" s="168">
        <v>593855</v>
      </c>
      <c r="H31" s="92">
        <f>G31/G$38</f>
        <v>0.12377941208348688</v>
      </c>
      <c r="I31" s="112">
        <f>+G31/National!G31</f>
        <v>1.405845949935971E-2</v>
      </c>
    </row>
    <row r="32" spans="1:9">
      <c r="A32" s="146" t="s">
        <v>94</v>
      </c>
      <c r="B32" s="157">
        <f>12+57</f>
        <v>69</v>
      </c>
      <c r="C32" s="175">
        <f t="shared" si="2"/>
        <v>6.0081501863397304E-4</v>
      </c>
      <c r="D32" s="78">
        <f>B32/National!B32</f>
        <v>1.2101653892698668E-3</v>
      </c>
      <c r="E32" s="51"/>
      <c r="F32" s="163" t="s">
        <v>17</v>
      </c>
      <c r="G32" s="169">
        <v>1387123</v>
      </c>
      <c r="H32" s="106">
        <f t="shared" ref="H32:H37" si="3">G32/G$38</f>
        <v>0.28912321935065388</v>
      </c>
      <c r="I32" s="113">
        <f>+G32/National!G32</f>
        <v>2.2296628455584562E-2</v>
      </c>
    </row>
    <row r="33" spans="1:9">
      <c r="A33" s="146" t="s">
        <v>95</v>
      </c>
      <c r="B33" s="150">
        <f>839+0</f>
        <v>839</v>
      </c>
      <c r="C33" s="175">
        <f t="shared" si="2"/>
        <v>7.3055623280275849E-3</v>
      </c>
      <c r="D33" s="78">
        <f>B33/National!B33</f>
        <v>6.3786759115652463E-3</v>
      </c>
      <c r="E33" s="51"/>
      <c r="F33" s="163" t="s">
        <v>18</v>
      </c>
      <c r="G33" s="169">
        <v>1127032</v>
      </c>
      <c r="H33" s="106">
        <f t="shared" si="3"/>
        <v>0.23491148236400533</v>
      </c>
      <c r="I33" s="113">
        <f>+G33/National!G33</f>
        <v>3.5477709534705262E-2</v>
      </c>
    </row>
    <row r="34" spans="1:9">
      <c r="A34" s="9" t="s">
        <v>1</v>
      </c>
      <c r="B34" s="154">
        <f>SUM(B29:B33)</f>
        <v>114844</v>
      </c>
      <c r="C34" s="176">
        <f>SUM(C29:C33)</f>
        <v>1</v>
      </c>
      <c r="D34" s="180">
        <f>B34/National!B34</f>
        <v>2.8407269474775697E-2</v>
      </c>
      <c r="E34" s="51"/>
      <c r="F34" s="163" t="s">
        <v>19</v>
      </c>
      <c r="G34" s="169">
        <v>465987</v>
      </c>
      <c r="H34" s="106">
        <f t="shared" si="3"/>
        <v>9.7127408034870133E-2</v>
      </c>
      <c r="I34" s="113">
        <f>+G34/National!G34</f>
        <v>5.4260524855972714E-2</v>
      </c>
    </row>
    <row r="35" spans="1:9">
      <c r="B35" s="49"/>
      <c r="C35" s="96"/>
      <c r="D35" s="96"/>
      <c r="E35" s="51"/>
      <c r="F35" s="163" t="s">
        <v>20</v>
      </c>
      <c r="G35" s="169">
        <v>19155</v>
      </c>
      <c r="H35" s="106">
        <f t="shared" si="3"/>
        <v>3.9925480773239114E-3</v>
      </c>
      <c r="I35" s="113">
        <f>+G35/National!G35</f>
        <v>1.4367625340935761E-3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106956</v>
      </c>
      <c r="H36" s="106">
        <f t="shared" si="3"/>
        <v>2.229323790959312E-2</v>
      </c>
      <c r="I36" s="113">
        <f>+G36/National!G36</f>
        <v>6.7605650895912672E-3</v>
      </c>
    </row>
    <row r="37" spans="1:9">
      <c r="A37" s="146" t="s">
        <v>5</v>
      </c>
      <c r="B37" s="149">
        <f>1985+1219</f>
        <v>3204</v>
      </c>
      <c r="C37" s="174">
        <f>B37/B$43</f>
        <v>1.3511917815151566E-2</v>
      </c>
      <c r="D37" s="77">
        <f>B37/National!B37</f>
        <v>1.5000842743974381E-2</v>
      </c>
      <c r="E37" s="51"/>
      <c r="F37" s="163" t="s">
        <v>22</v>
      </c>
      <c r="G37" s="170">
        <v>1097580</v>
      </c>
      <c r="H37" s="106">
        <f t="shared" si="3"/>
        <v>0.22877269218006674</v>
      </c>
      <c r="I37" s="114">
        <f>+G37/National!G37</f>
        <v>4.2780357642667355E-2</v>
      </c>
    </row>
    <row r="38" spans="1:9">
      <c r="A38" s="146" t="s">
        <v>7</v>
      </c>
      <c r="B38" s="157">
        <f>8151+5963</f>
        <v>14114</v>
      </c>
      <c r="C38" s="175">
        <f t="shared" ref="C38:C42" si="4">B38/B$43</f>
        <v>5.9521600512811863E-2</v>
      </c>
      <c r="D38" s="78">
        <f>B38/National!B38</f>
        <v>2.955700099263274E-2</v>
      </c>
      <c r="E38" s="51"/>
      <c r="F38" s="47" t="s">
        <v>1</v>
      </c>
      <c r="G38" s="187">
        <f>SUM(G31:G37)</f>
        <v>4797688</v>
      </c>
      <c r="H38" s="188">
        <f>SUM(H31:H37)</f>
        <v>1</v>
      </c>
      <c r="I38" s="188">
        <f>+G38/National!G39</f>
        <v>2.3835911973230779E-2</v>
      </c>
    </row>
    <row r="39" spans="1:9">
      <c r="A39" s="146" t="s">
        <v>6</v>
      </c>
      <c r="B39" s="157">
        <f>9742+5863</f>
        <v>15605</v>
      </c>
      <c r="C39" s="175">
        <f t="shared" si="4"/>
        <v>6.5809449908064976E-2</v>
      </c>
      <c r="D39" s="78">
        <f>B39/National!B39</f>
        <v>2.823488967495047E-2</v>
      </c>
      <c r="E39" s="51"/>
      <c r="H39" s="87"/>
      <c r="I39" s="87"/>
    </row>
    <row r="40" spans="1:9" ht="23.25">
      <c r="A40" s="146" t="s">
        <v>30</v>
      </c>
      <c r="B40" s="157">
        <f>24989+13842+4765</f>
        <v>43596</v>
      </c>
      <c r="C40" s="175">
        <f t="shared" si="4"/>
        <v>0.18385317386683761</v>
      </c>
      <c r="D40" s="78">
        <f>B40/National!B40</f>
        <v>2.7098559542116641E-2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29989+129366</f>
        <v>159355</v>
      </c>
      <c r="C41" s="175">
        <f t="shared" si="4"/>
        <v>0.67203235437998687</v>
      </c>
      <c r="D41" s="78">
        <f>B41/National!B41</f>
        <v>2.856539019439272E-2</v>
      </c>
      <c r="E41" s="51"/>
      <c r="F41" s="163" t="s">
        <v>38</v>
      </c>
      <c r="G41" s="168">
        <v>1889491</v>
      </c>
      <c r="H41" s="189">
        <f>G41/G$47</f>
        <v>0.44686861739917677</v>
      </c>
      <c r="I41" s="113">
        <f>+G41/National!G42</f>
        <v>2.0835089355447148E-2</v>
      </c>
    </row>
    <row r="42" spans="1:9">
      <c r="A42" s="156" t="s">
        <v>29</v>
      </c>
      <c r="B42" s="150">
        <v>1250</v>
      </c>
      <c r="C42" s="175">
        <f t="shared" si="4"/>
        <v>5.2715035171471466E-3</v>
      </c>
      <c r="D42" s="78">
        <f>B42/National!B42</f>
        <v>2.3683213338385752E-2</v>
      </c>
      <c r="E42" s="51"/>
      <c r="F42" s="163" t="s">
        <v>39</v>
      </c>
      <c r="G42" s="169">
        <v>1009922</v>
      </c>
      <c r="H42" s="86">
        <f t="shared" ref="H42:H46" si="5">G42/G$47</f>
        <v>0.23884868878497512</v>
      </c>
      <c r="I42" s="113">
        <f>+G42/National!G43</f>
        <v>2.2676705993132647E-2</v>
      </c>
    </row>
    <row r="43" spans="1:9">
      <c r="A43" s="9" t="s">
        <v>1</v>
      </c>
      <c r="B43" s="154">
        <f>SUM(B37:B42)</f>
        <v>237124</v>
      </c>
      <c r="C43" s="178">
        <f>SUM(C37:C42)</f>
        <v>1</v>
      </c>
      <c r="D43" s="179">
        <f>B43/National!B43</f>
        <v>2.7949654224337688E-2</v>
      </c>
      <c r="E43" s="51"/>
      <c r="F43" s="163" t="s">
        <v>40</v>
      </c>
      <c r="G43" s="169">
        <v>249364</v>
      </c>
      <c r="H43" s="86">
        <f t="shared" si="5"/>
        <v>5.8975113355463626E-2</v>
      </c>
      <c r="I43" s="113">
        <f>+G43/National!G44</f>
        <v>1.9034003194418735E-2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504492</v>
      </c>
      <c r="H44" s="86">
        <f t="shared" si="5"/>
        <v>0.11931342490064546</v>
      </c>
      <c r="I44" s="113">
        <f>+G44/National!G45</f>
        <v>3.4266711314850526E-2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195025</v>
      </c>
      <c r="H45" s="86">
        <f t="shared" si="5"/>
        <v>4.6123824939242608E-2</v>
      </c>
      <c r="I45" s="113">
        <f>+G45/National!G46</f>
        <v>2.3443731138479994E-2</v>
      </c>
    </row>
    <row r="46" spans="1:9">
      <c r="A46" s="8" t="s">
        <v>3</v>
      </c>
      <c r="B46" s="52">
        <v>26958</v>
      </c>
      <c r="C46" s="93">
        <f>B46/B$48</f>
        <v>0.46914482614597475</v>
      </c>
      <c r="D46" s="77">
        <f>B46/National!B48</f>
        <v>2.721881064358685E-2</v>
      </c>
      <c r="E46" s="51"/>
      <c r="F46" s="163" t="s">
        <v>43</v>
      </c>
      <c r="G46" s="170">
        <v>379998</v>
      </c>
      <c r="H46" s="86">
        <f t="shared" si="5"/>
        <v>8.9870330620496403E-2</v>
      </c>
      <c r="I46" s="113">
        <f>+G46/National!G47</f>
        <v>4.7702347834044666E-2</v>
      </c>
    </row>
    <row r="47" spans="1:9">
      <c r="A47" s="8" t="s">
        <v>2</v>
      </c>
      <c r="B47" s="52">
        <v>30504</v>
      </c>
      <c r="C47" s="97">
        <f>B47/B$48</f>
        <v>0.53085517385402525</v>
      </c>
      <c r="D47" s="78">
        <f>B47/National!B49</f>
        <v>1.5382047520764303E-2</v>
      </c>
      <c r="E47" s="51"/>
      <c r="F47" s="9" t="s">
        <v>1</v>
      </c>
      <c r="G47" s="191">
        <f>SUM(G41:G46)</f>
        <v>4228292</v>
      </c>
      <c r="H47" s="182">
        <f>SUM(H41:H46)</f>
        <v>1</v>
      </c>
      <c r="I47" s="188">
        <f>+G47/National!G49</f>
        <v>2.3306725666901142E-2</v>
      </c>
    </row>
    <row r="48" spans="1:9">
      <c r="A48" s="9" t="s">
        <v>1</v>
      </c>
      <c r="B48" s="155">
        <f>SUM(B46:B47)</f>
        <v>57462</v>
      </c>
      <c r="C48" s="165">
        <f>SUM(C46:C47)</f>
        <v>1</v>
      </c>
      <c r="D48" s="177">
        <f>B48/National!B50</f>
        <v>1.9324643039587235E-2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574955</v>
      </c>
      <c r="H50" s="189">
        <f>G50/G$52</f>
        <v>0.86181156476758491</v>
      </c>
      <c r="I50" s="113">
        <f>+G50/National!G52</f>
        <v>1.8344728055930085E-2</v>
      </c>
    </row>
    <row r="51" spans="1:9">
      <c r="A51" s="146" t="s">
        <v>5</v>
      </c>
      <c r="B51" s="149">
        <f>5197+5156</f>
        <v>10353</v>
      </c>
      <c r="C51" s="174">
        <f>B51/B$57</f>
        <v>0.18017124360446904</v>
      </c>
      <c r="D51" s="77">
        <f>B51/National!B53</f>
        <v>1.4391539392894726E-2</v>
      </c>
      <c r="E51" s="51"/>
      <c r="F51" s="163" t="s">
        <v>97</v>
      </c>
      <c r="G51" s="194">
        <v>92192</v>
      </c>
      <c r="H51" s="86">
        <f>G51/G$52</f>
        <v>0.13818843523241506</v>
      </c>
      <c r="I51" s="113">
        <f>+G51/National!G53</f>
        <v>1.8281794492022437E-2</v>
      </c>
    </row>
    <row r="52" spans="1:9">
      <c r="A52" s="146" t="s">
        <v>7</v>
      </c>
      <c r="B52" s="157">
        <f>8125+8881</f>
        <v>17006</v>
      </c>
      <c r="C52" s="175">
        <f t="shared" ref="C52:C56" si="6">B52/B$57</f>
        <v>0.29595210747972572</v>
      </c>
      <c r="D52" s="78">
        <f>B52/National!B54</f>
        <v>2.4831098592865475E-2</v>
      </c>
      <c r="E52" s="51"/>
      <c r="F52" s="60" t="s">
        <v>1</v>
      </c>
      <c r="G52" s="190">
        <f>SUM(G50:G51)</f>
        <v>667147</v>
      </c>
      <c r="H52" s="185">
        <f>SUM(H50:H51)</f>
        <v>1</v>
      </c>
      <c r="I52" s="192">
        <f>+G52/National!G54</f>
        <v>1.8336005576875206E-2</v>
      </c>
    </row>
    <row r="53" spans="1:9">
      <c r="A53" s="146" t="s">
        <v>6</v>
      </c>
      <c r="B53" s="157">
        <f>5007+5103</f>
        <v>10110</v>
      </c>
      <c r="C53" s="175">
        <f t="shared" si="6"/>
        <v>0.17594236190873969</v>
      </c>
      <c r="D53" s="78">
        <f>B53/National!B55</f>
        <v>1.9111242174031394E-2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4267+1190+1668</f>
        <v>7125</v>
      </c>
      <c r="C54" s="175">
        <f t="shared" si="6"/>
        <v>0.12399498799206432</v>
      </c>
      <c r="D54" s="78">
        <f>B54/National!B56</f>
        <v>1.7104912530878869E-2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3172+5713</f>
        <v>8885</v>
      </c>
      <c r="C55" s="175">
        <f t="shared" si="6"/>
        <v>0.15462392537677075</v>
      </c>
      <c r="D55" s="78">
        <f>B55/National!B57</f>
        <v>2.215257727846176E-2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3983</v>
      </c>
      <c r="C56" s="175">
        <f t="shared" si="6"/>
        <v>6.9315373638230482E-2</v>
      </c>
      <c r="D56" s="78">
        <f>B56/National!B58</f>
        <v>1.7891152795745293E-2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57462</v>
      </c>
      <c r="C57" s="178">
        <f>SUM(C51:C56)</f>
        <v>1</v>
      </c>
      <c r="D57" s="177">
        <f>B57/National!B59</f>
        <v>1.9324643039587235E-2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topLeftCell="A37" zoomScaleNormal="100" workbookViewId="0">
      <selection activeCell="A45" sqref="A4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90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532668</v>
      </c>
      <c r="C4" s="99"/>
      <c r="D4" s="77">
        <f>B4/National!B4</f>
        <v>1.7518531984196631E-3</v>
      </c>
      <c r="E4" s="1"/>
      <c r="F4" s="146" t="s">
        <v>10</v>
      </c>
      <c r="G4" s="195">
        <v>208782</v>
      </c>
      <c r="H4" s="189">
        <f>G4/G$6</f>
        <v>0.51616236782706082</v>
      </c>
      <c r="I4" s="112">
        <f>+G4/National!G4</f>
        <v>2.0149170374205248E-3</v>
      </c>
    </row>
    <row r="5" spans="1:9">
      <c r="A5" s="8" t="s">
        <v>167</v>
      </c>
      <c r="B5" s="50">
        <f>96564+536</f>
        <v>97100</v>
      </c>
      <c r="C5" s="100"/>
      <c r="D5" s="79">
        <f>B5/National!B5</f>
        <v>2.7449221061213461E-2</v>
      </c>
      <c r="E5" s="1"/>
      <c r="F5" s="146" t="s">
        <v>11</v>
      </c>
      <c r="G5" s="196">
        <v>195707</v>
      </c>
      <c r="H5" s="86">
        <f>G5/G$6</f>
        <v>0.48383763217293918</v>
      </c>
      <c r="I5" s="113">
        <f>+G5/National!G5</f>
        <v>1.8691732673008696E-3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404489</v>
      </c>
      <c r="H6" s="182">
        <f>SUM(H4:H5)</f>
        <v>1</v>
      </c>
      <c r="I6" s="183">
        <f>+G6/National!G6</f>
        <v>1.9416658652976909E-3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354457</v>
      </c>
      <c r="C8" s="174">
        <f>B8/B10</f>
        <v>0.47621395550050177</v>
      </c>
      <c r="D8" s="77">
        <f>B8/National!B8</f>
        <v>2.5947372038444515E-3</v>
      </c>
      <c r="E8" s="1"/>
      <c r="F8" s="146" t="s">
        <v>32</v>
      </c>
      <c r="G8" s="206">
        <f>14/100</f>
        <v>0.14000000000000001</v>
      </c>
      <c r="H8" s="87"/>
      <c r="I8" s="87"/>
    </row>
    <row r="9" spans="1:9">
      <c r="A9" s="146" t="s">
        <v>169</v>
      </c>
      <c r="B9" s="150">
        <v>389866</v>
      </c>
      <c r="C9" s="175">
        <f>B9/B10</f>
        <v>0.52378604449949817</v>
      </c>
      <c r="D9" s="78">
        <f>B9/National!B9</f>
        <v>1.0110523441694108E-2</v>
      </c>
      <c r="E9" s="1"/>
      <c r="F9" s="146" t="s">
        <v>31</v>
      </c>
      <c r="G9" s="207">
        <f>14/100</f>
        <v>0.14000000000000001</v>
      </c>
      <c r="H9" s="87"/>
      <c r="I9" s="87"/>
    </row>
    <row r="10" spans="1:9">
      <c r="A10" s="9" t="s">
        <v>9</v>
      </c>
      <c r="B10" s="152">
        <f>SUM(B8:B9)</f>
        <v>744323</v>
      </c>
      <c r="C10" s="176">
        <f>SUM(C8:C9)</f>
        <v>1</v>
      </c>
      <c r="D10" s="165"/>
      <c r="E10" s="1"/>
      <c r="F10" s="146" t="s">
        <v>33</v>
      </c>
      <c r="G10" s="205">
        <f>14/100</f>
        <v>0.14000000000000001</v>
      </c>
      <c r="H10" s="87"/>
      <c r="I10" s="87"/>
    </row>
    <row r="11" spans="1:9">
      <c r="A11" s="146" t="s">
        <v>170</v>
      </c>
      <c r="B11" s="149">
        <v>43312</v>
      </c>
      <c r="C11" s="93">
        <f>B11/(B12+B11)</f>
        <v>0.12319069357338908</v>
      </c>
      <c r="D11" s="77">
        <f>B11/National!B11</f>
        <v>1.1484341607192668E-2</v>
      </c>
      <c r="E11" s="1"/>
      <c r="G11" s="49"/>
      <c r="H11" s="87"/>
      <c r="I11" s="86"/>
    </row>
    <row r="12" spans="1:9" ht="23.25">
      <c r="A12" s="146" t="s">
        <v>171</v>
      </c>
      <c r="B12" s="150">
        <v>308273</v>
      </c>
      <c r="C12" s="95">
        <f>B12/(B11+B12)</f>
        <v>0.87680930642661092</v>
      </c>
      <c r="D12" s="79">
        <f>B12/National!B12</f>
        <v>2.3317822005459012E-3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261294</v>
      </c>
      <c r="H13" s="189">
        <f>G13/G$18</f>
        <v>0.37620996828130154</v>
      </c>
      <c r="I13" s="92">
        <f>+G13/National!G13</f>
        <v>1.906144581738396E-3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399418</v>
      </c>
      <c r="H14" s="86">
        <f>G14/G$18</f>
        <v>0.57508030460317072</v>
      </c>
      <c r="I14" s="106">
        <f>+G14/National!G14</f>
        <v>3.6231154763764423E-3</v>
      </c>
    </row>
    <row r="15" spans="1:9">
      <c r="A15" s="146" t="s">
        <v>3</v>
      </c>
      <c r="B15" s="149">
        <v>25427</v>
      </c>
      <c r="C15" s="174">
        <f>B15/B$17</f>
        <v>0.90471446361857322</v>
      </c>
      <c r="D15" s="77">
        <f>B15/National!B15</f>
        <v>8.5404947152183178E-3</v>
      </c>
      <c r="E15" s="3"/>
      <c r="F15" s="146" t="s">
        <v>13</v>
      </c>
      <c r="G15" s="150">
        <v>3329</v>
      </c>
      <c r="H15" s="86">
        <f>G15/G$18</f>
        <v>4.7930797661195927E-3</v>
      </c>
      <c r="I15" s="106">
        <f>+G15/National!G15</f>
        <v>3.9475494125515232E-3</v>
      </c>
    </row>
    <row r="16" spans="1:9">
      <c r="A16" s="146" t="s">
        <v>2</v>
      </c>
      <c r="B16" s="150">
        <v>2678</v>
      </c>
      <c r="C16" s="175">
        <f>B16/B$17</f>
        <v>9.5285536381426797E-2</v>
      </c>
      <c r="D16" s="78">
        <f>B16/National!B16</f>
        <v>2.5132796516320363E-3</v>
      </c>
      <c r="E16" s="1"/>
      <c r="F16" s="9" t="s">
        <v>1</v>
      </c>
      <c r="G16" s="162">
        <v>664041</v>
      </c>
      <c r="H16" s="105"/>
      <c r="I16" s="106"/>
    </row>
    <row r="17" spans="1:9">
      <c r="A17" s="9" t="s">
        <v>1</v>
      </c>
      <c r="B17" s="154">
        <f>SUM(B15:B16)</f>
        <v>28105</v>
      </c>
      <c r="C17" s="176">
        <f>SUM(C15:C16)</f>
        <v>1</v>
      </c>
      <c r="D17" s="177">
        <f>B17/National!B17</f>
        <v>6.9519200706050907E-3</v>
      </c>
      <c r="E17" s="1"/>
      <c r="F17" s="108" t="s">
        <v>35</v>
      </c>
      <c r="G17" s="117">
        <v>30502</v>
      </c>
      <c r="H17" s="105">
        <f>G17/G$18</f>
        <v>4.3916647349408172E-2</v>
      </c>
      <c r="I17" s="106">
        <f>+G17/National!G17</f>
        <v>3.9579760575018585E-3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694543</v>
      </c>
      <c r="H18" s="185">
        <f>SUM(H13:H17)</f>
        <v>1.0000000000000002</v>
      </c>
      <c r="I18" s="186">
        <f>+G18/National!G18</f>
        <v>2.7144242672530222E-3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816+97</f>
        <v>913</v>
      </c>
      <c r="C20" s="174">
        <f>B20/B$26</f>
        <v>3.2484167081761904E-2</v>
      </c>
      <c r="D20" s="77">
        <f>B20/National!B20</f>
        <v>1.9528994032213216E-2</v>
      </c>
      <c r="E20" s="51"/>
      <c r="F20" s="163" t="s">
        <v>3</v>
      </c>
      <c r="G20" s="108">
        <f>22+115</f>
        <v>137</v>
      </c>
      <c r="H20" s="189">
        <f>G20/G$23</f>
        <v>0.86163522012578619</v>
      </c>
      <c r="I20" s="92">
        <f>+G20/National!G20</f>
        <v>6.5843225837458547E-3</v>
      </c>
    </row>
    <row r="21" spans="1:9">
      <c r="A21" s="146" t="s">
        <v>7</v>
      </c>
      <c r="B21" s="157">
        <f>1989+212</f>
        <v>2201</v>
      </c>
      <c r="C21" s="175">
        <f t="shared" ref="C21:C25" si="0">B21/B$26</f>
        <v>7.831068099338219E-2</v>
      </c>
      <c r="D21" s="78">
        <f>B21/National!B21</f>
        <v>1.3798853961606459E-2</v>
      </c>
      <c r="E21" s="51"/>
      <c r="F21" s="163" t="s">
        <v>2</v>
      </c>
      <c r="G21" s="198">
        <f>15+7</f>
        <v>22</v>
      </c>
      <c r="H21" s="86">
        <f t="shared" ref="H21:H22" si="1">G21/G$23</f>
        <v>0.13836477987421383</v>
      </c>
      <c r="I21" s="106">
        <f>+G21/National!G21</f>
        <v>1.3787916771120581E-3</v>
      </c>
    </row>
    <row r="22" spans="1:9">
      <c r="A22" s="146" t="s">
        <v>6</v>
      </c>
      <c r="B22" s="157">
        <f>1222+167</f>
        <v>1389</v>
      </c>
      <c r="C22" s="175">
        <f t="shared" si="0"/>
        <v>4.9420052657795491E-2</v>
      </c>
      <c r="D22" s="78">
        <f>B22/National!B22</f>
        <v>5.7588258463069303E-3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2877+7804+509</f>
        <v>11190</v>
      </c>
      <c r="C23" s="175">
        <f t="shared" si="0"/>
        <v>0.39813562940297448</v>
      </c>
      <c r="D23" s="78">
        <f>B23/National!B23</f>
        <v>1.408101554448481E-2</v>
      </c>
      <c r="E23" s="51"/>
      <c r="F23" s="9" t="s">
        <v>1</v>
      </c>
      <c r="G23" s="197">
        <f>SUM(G20:G22)</f>
        <v>159</v>
      </c>
      <c r="H23" s="132">
        <f>SUM(H20:H22)</f>
        <v>1</v>
      </c>
      <c r="I23" s="133">
        <f>+G23/National!G23</f>
        <v>4.2671962641904404E-3</v>
      </c>
    </row>
    <row r="24" spans="1:9">
      <c r="A24" s="146" t="s">
        <v>8</v>
      </c>
      <c r="B24" s="157">
        <f>10720+1690</f>
        <v>12410</v>
      </c>
      <c r="C24" s="175">
        <f t="shared" si="0"/>
        <v>0.44154273108944708</v>
      </c>
      <c r="D24" s="78">
        <f>B24/National!B24</f>
        <v>4.4491385664667598E-3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3</v>
      </c>
      <c r="C25" s="175">
        <f t="shared" si="0"/>
        <v>1.0673877463886715E-4</v>
      </c>
      <c r="D25" s="78">
        <f>B25/National!B25</f>
        <v>2.6466696074106747E-4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28106</v>
      </c>
      <c r="C26" s="176">
        <f>SUM(C20:C25)</f>
        <v>1</v>
      </c>
      <c r="D26" s="177">
        <f>B26/National!B26</f>
        <v>6.9521502293719813E-3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584929</v>
      </c>
      <c r="H27" s="87"/>
      <c r="I27" s="113">
        <f>+G27/National!G27</f>
        <v>4.2361849857869968E-3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573994</v>
      </c>
      <c r="H28" s="87"/>
      <c r="I28" s="114">
        <f>+G28/National!G28</f>
        <v>4.3163719548937121E-3</v>
      </c>
    </row>
    <row r="29" spans="1:9">
      <c r="A29" s="146" t="s">
        <v>91</v>
      </c>
      <c r="B29" s="149">
        <f>6331+411</f>
        <v>6742</v>
      </c>
      <c r="C29" s="174">
        <f>B29/B$34</f>
        <v>0.23987760620508078</v>
      </c>
      <c r="D29" s="77">
        <f>B29/National!B29</f>
        <v>8.6465495240037292E-3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14162+429</f>
        <v>14591</v>
      </c>
      <c r="C30" s="175">
        <f t="shared" ref="C30:C33" si="2">B30/B$34</f>
        <v>0.51914182025190347</v>
      </c>
      <c r="D30" s="78">
        <f>B30/National!B30</f>
        <v>8.1603046006646363E-3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694+1560</f>
        <v>2254</v>
      </c>
      <c r="C31" s="175">
        <f t="shared" si="2"/>
        <v>8.0196399345335512E-2</v>
      </c>
      <c r="D31" s="78">
        <f>B31/National!B31</f>
        <v>1.7521221355057367E-3</v>
      </c>
      <c r="E31" s="51"/>
      <c r="F31" s="163" t="s">
        <v>16</v>
      </c>
      <c r="G31" s="168">
        <v>236542</v>
      </c>
      <c r="H31" s="92">
        <f>G31/G$38</f>
        <v>0.30604872620942181</v>
      </c>
      <c r="I31" s="112">
        <f>+G31/National!G31</f>
        <v>5.599710580693174E-3</v>
      </c>
    </row>
    <row r="32" spans="1:9">
      <c r="A32" s="146" t="s">
        <v>94</v>
      </c>
      <c r="B32" s="157">
        <f>902+210</f>
        <v>1112</v>
      </c>
      <c r="C32" s="175">
        <f t="shared" si="2"/>
        <v>3.9564505799473425E-2</v>
      </c>
      <c r="D32" s="78">
        <f>B32/National!B32</f>
        <v>1.9502955258957854E-2</v>
      </c>
      <c r="E32" s="51"/>
      <c r="F32" s="163" t="s">
        <v>17</v>
      </c>
      <c r="G32" s="169">
        <v>165600</v>
      </c>
      <c r="H32" s="106">
        <f t="shared" ref="H32:H37" si="3">G32/G$38</f>
        <v>0.21426076155727206</v>
      </c>
      <c r="I32" s="113">
        <f>+G32/National!G32</f>
        <v>2.6618559942015261E-3</v>
      </c>
    </row>
    <row r="33" spans="1:9">
      <c r="A33" s="146" t="s">
        <v>95</v>
      </c>
      <c r="B33" s="150">
        <f>3338+69</f>
        <v>3407</v>
      </c>
      <c r="C33" s="175">
        <f t="shared" si="2"/>
        <v>0.12121966839820679</v>
      </c>
      <c r="D33" s="78">
        <f>B33/National!B33</f>
        <v>2.5902441991302497E-2</v>
      </c>
      <c r="E33" s="51"/>
      <c r="F33" s="163" t="s">
        <v>18</v>
      </c>
      <c r="G33" s="169">
        <v>214382</v>
      </c>
      <c r="H33" s="106">
        <f t="shared" si="3"/>
        <v>0.27737711705417328</v>
      </c>
      <c r="I33" s="113">
        <f>+G33/National!G33</f>
        <v>6.7485060987347153E-3</v>
      </c>
    </row>
    <row r="34" spans="1:9">
      <c r="A34" s="9" t="s">
        <v>1</v>
      </c>
      <c r="B34" s="154">
        <f>SUM(B29:B33)</f>
        <v>28106</v>
      </c>
      <c r="C34" s="176">
        <f>SUM(C29:C33)</f>
        <v>1</v>
      </c>
      <c r="D34" s="180">
        <f>B34/National!B34</f>
        <v>6.9521674258824643E-3</v>
      </c>
      <c r="E34" s="51"/>
      <c r="F34" s="163" t="s">
        <v>19</v>
      </c>
      <c r="G34" s="169">
        <v>50638</v>
      </c>
      <c r="H34" s="106">
        <f t="shared" si="3"/>
        <v>6.5517732148171151E-2</v>
      </c>
      <c r="I34" s="113">
        <f>+G34/National!G34</f>
        <v>5.8963972335209919E-3</v>
      </c>
    </row>
    <row r="35" spans="1:9">
      <c r="B35" s="49"/>
      <c r="C35" s="96"/>
      <c r="D35" s="96"/>
      <c r="E35" s="51"/>
      <c r="F35" s="163" t="s">
        <v>20</v>
      </c>
      <c r="G35" s="169">
        <v>80922</v>
      </c>
      <c r="H35" s="106">
        <f t="shared" si="3"/>
        <v>0.10470053953343943</v>
      </c>
      <c r="I35" s="113">
        <f>+G35/National!G35</f>
        <v>6.0697310250023683E-3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24806</v>
      </c>
      <c r="H36" s="106">
        <f t="shared" si="3"/>
        <v>3.2095123497522283E-2</v>
      </c>
      <c r="I36" s="113">
        <f>+G36/National!G36</f>
        <v>1.5679585774748585E-3</v>
      </c>
    </row>
    <row r="37" spans="1:9">
      <c r="A37" s="146" t="s">
        <v>5</v>
      </c>
      <c r="B37" s="149">
        <f>3266+389</f>
        <v>3655</v>
      </c>
      <c r="C37" s="174">
        <f>B37/B$43</f>
        <v>6.260169564100368E-2</v>
      </c>
      <c r="D37" s="77">
        <f>B37/National!B37</f>
        <v>1.7112384590894619E-2</v>
      </c>
      <c r="E37" s="51"/>
      <c r="F37" s="163" t="s">
        <v>22</v>
      </c>
      <c r="G37" s="170">
        <v>0</v>
      </c>
      <c r="H37" s="106">
        <f t="shared" si="3"/>
        <v>0</v>
      </c>
      <c r="I37" s="114">
        <f>+G37/National!G37</f>
        <v>0</v>
      </c>
    </row>
    <row r="38" spans="1:9">
      <c r="A38" s="146" t="s">
        <v>7</v>
      </c>
      <c r="B38" s="157">
        <f>4027+659</f>
        <v>4686</v>
      </c>
      <c r="C38" s="175">
        <f t="shared" ref="C38:C42" si="4">B38/B$43</f>
        <v>8.0260340840969432E-2</v>
      </c>
      <c r="D38" s="78">
        <f>B38/National!B38</f>
        <v>9.8132426421621809E-3</v>
      </c>
      <c r="E38" s="51"/>
      <c r="F38" s="47" t="s">
        <v>1</v>
      </c>
      <c r="G38" s="187">
        <f>SUM(G31:G37)</f>
        <v>772890</v>
      </c>
      <c r="H38" s="188">
        <f>SUM(H31:H37)</f>
        <v>0.99999999999999989</v>
      </c>
      <c r="I38" s="188">
        <f>+G38/National!G39</f>
        <v>3.8398782924171679E-3</v>
      </c>
    </row>
    <row r="39" spans="1:9">
      <c r="A39" s="146" t="s">
        <v>6</v>
      </c>
      <c r="B39" s="157">
        <f>2446+367</f>
        <v>2813</v>
      </c>
      <c r="C39" s="175">
        <f t="shared" si="4"/>
        <v>4.8180183266249892E-2</v>
      </c>
      <c r="D39" s="78">
        <f>B39/National!B39</f>
        <v>5.0896984720048494E-3</v>
      </c>
      <c r="E39" s="51"/>
      <c r="H39" s="87"/>
      <c r="I39" s="87"/>
    </row>
    <row r="40" spans="1:9" ht="23.25">
      <c r="A40" s="146" t="s">
        <v>30</v>
      </c>
      <c r="B40" s="157">
        <f>5763+15608+1028</f>
        <v>22399</v>
      </c>
      <c r="C40" s="175">
        <f t="shared" si="4"/>
        <v>0.38364305900488138</v>
      </c>
      <c r="D40" s="78">
        <f>B40/National!B40</f>
        <v>1.3922851527293115E-2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21440+3380</f>
        <v>24820</v>
      </c>
      <c r="C41" s="175">
        <f t="shared" si="4"/>
        <v>0.425109189004025</v>
      </c>
      <c r="D41" s="78">
        <f>B41/National!B41</f>
        <v>4.4491417566115106E-3</v>
      </c>
      <c r="E41" s="51"/>
      <c r="F41" s="163" t="s">
        <v>38</v>
      </c>
      <c r="G41" s="168">
        <v>373211</v>
      </c>
      <c r="H41" s="189">
        <f>G41/G$47</f>
        <v>0.54888410091992734</v>
      </c>
      <c r="I41" s="113">
        <f>+G41/National!G42</f>
        <v>4.1153329301043436E-3</v>
      </c>
    </row>
    <row r="42" spans="1:9">
      <c r="A42" s="156" t="s">
        <v>29</v>
      </c>
      <c r="B42" s="150">
        <v>12</v>
      </c>
      <c r="C42" s="175">
        <f t="shared" si="4"/>
        <v>2.0553224287060034E-4</v>
      </c>
      <c r="D42" s="78">
        <f>B42/National!B42</f>
        <v>2.2735884804850321E-4</v>
      </c>
      <c r="E42" s="51"/>
      <c r="F42" s="163" t="s">
        <v>39</v>
      </c>
      <c r="G42" s="169">
        <v>161592</v>
      </c>
      <c r="H42" s="86">
        <f t="shared" ref="H42:H46" si="5">G42/G$47</f>
        <v>0.23765451617410233</v>
      </c>
      <c r="I42" s="113">
        <f>+G42/National!G43</f>
        <v>3.6283735524548343E-3</v>
      </c>
    </row>
    <row r="43" spans="1:9">
      <c r="A43" s="9" t="s">
        <v>1</v>
      </c>
      <c r="B43" s="154">
        <f>SUM(B37:B42)</f>
        <v>58385</v>
      </c>
      <c r="C43" s="178">
        <f>SUM(C37:C42)</f>
        <v>0.99999999999999989</v>
      </c>
      <c r="D43" s="179">
        <f>B43/National!B43</f>
        <v>6.8818026091325884E-3</v>
      </c>
      <c r="E43" s="51"/>
      <c r="F43" s="163" t="s">
        <v>40</v>
      </c>
      <c r="G43" s="169">
        <v>58639</v>
      </c>
      <c r="H43" s="86">
        <f t="shared" si="5"/>
        <v>8.624079888814537E-2</v>
      </c>
      <c r="I43" s="113">
        <f>+G43/National!G44</f>
        <v>4.4759264100572667E-3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86447</v>
      </c>
      <c r="H44" s="86">
        <f t="shared" si="5"/>
        <v>0.12713822441521005</v>
      </c>
      <c r="I44" s="113">
        <f>+G44/National!G45</f>
        <v>5.8717569218835648E-3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23</v>
      </c>
      <c r="H45" s="86">
        <f t="shared" si="5"/>
        <v>3.3826265359698209E-5</v>
      </c>
      <c r="I45" s="113">
        <f>+G45/National!G46</f>
        <v>2.7648035697220349E-6</v>
      </c>
    </row>
    <row r="46" spans="1:9">
      <c r="A46" s="8" t="s">
        <v>3</v>
      </c>
      <c r="B46" s="52">
        <v>6796</v>
      </c>
      <c r="C46" s="93">
        <f>B46/B$48</f>
        <v>0.71938181433259241</v>
      </c>
      <c r="D46" s="77">
        <f>B46/National!B48</f>
        <v>6.8617492816164492E-3</v>
      </c>
      <c r="E46" s="51"/>
      <c r="F46" s="163" t="s">
        <v>43</v>
      </c>
      <c r="G46" s="170">
        <v>33</v>
      </c>
      <c r="H46" s="86">
        <f t="shared" si="5"/>
        <v>4.8533337255219172E-5</v>
      </c>
      <c r="I46" s="113">
        <f>+G46/National!G47</f>
        <v>4.1425941150308005E-6</v>
      </c>
    </row>
    <row r="47" spans="1:9">
      <c r="A47" s="8" t="s">
        <v>2</v>
      </c>
      <c r="B47" s="52">
        <v>2651</v>
      </c>
      <c r="C47" s="97">
        <f>B47/B$48</f>
        <v>0.28061818566740765</v>
      </c>
      <c r="D47" s="78">
        <f>B47/National!B49</f>
        <v>1.3368019924451273E-3</v>
      </c>
      <c r="E47" s="51"/>
      <c r="F47" s="9" t="s">
        <v>1</v>
      </c>
      <c r="G47" s="191">
        <f>SUM(G41:G46)</f>
        <v>679945</v>
      </c>
      <c r="H47" s="182">
        <f>SUM(H41:H46)</f>
        <v>1</v>
      </c>
      <c r="I47" s="188">
        <f>+G47/National!G49</f>
        <v>3.7479179733994478E-3</v>
      </c>
    </row>
    <row r="48" spans="1:9">
      <c r="A48" s="9" t="s">
        <v>1</v>
      </c>
      <c r="B48" s="155">
        <f>SUM(B46:B47)</f>
        <v>9447</v>
      </c>
      <c r="C48" s="165">
        <f>SUM(C46:C47)</f>
        <v>1</v>
      </c>
      <c r="D48" s="177">
        <f>B48/National!B50</f>
        <v>3.1770544498099722E-3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/>
      <c r="D50" s="119" t="s">
        <v>198</v>
      </c>
      <c r="E50" s="51"/>
      <c r="F50" s="163" t="s">
        <v>96</v>
      </c>
      <c r="G50" s="193">
        <v>151489</v>
      </c>
      <c r="H50" s="189">
        <f>G50/G$52</f>
        <v>0.88297797931991184</v>
      </c>
      <c r="I50" s="113">
        <f>+G50/National!G52</f>
        <v>4.8334643728027279E-3</v>
      </c>
    </row>
    <row r="51" spans="1:9">
      <c r="A51" s="146" t="s">
        <v>5</v>
      </c>
      <c r="B51" s="149">
        <f>2482+463</f>
        <v>2945</v>
      </c>
      <c r="C51" s="174">
        <f>B51/B$57</f>
        <v>0.31173917645813487</v>
      </c>
      <c r="D51" s="77">
        <f>B51/National!B53</f>
        <v>4.0937973062952736E-3</v>
      </c>
      <c r="E51" s="51"/>
      <c r="F51" s="163" t="s">
        <v>97</v>
      </c>
      <c r="G51" s="194">
        <v>20077</v>
      </c>
      <c r="H51" s="86">
        <f>G51/G$52</f>
        <v>0.11702202068008813</v>
      </c>
      <c r="I51" s="113">
        <f>+G51/National!G53</f>
        <v>3.981295427112271E-3</v>
      </c>
    </row>
    <row r="52" spans="1:9">
      <c r="A52" s="146" t="s">
        <v>7</v>
      </c>
      <c r="B52" s="157">
        <f>1651+771</f>
        <v>2422</v>
      </c>
      <c r="C52" s="175">
        <f t="shared" ref="C52:C56" si="6">B52/B$57</f>
        <v>0.25637768603789562</v>
      </c>
      <c r="D52" s="78">
        <f>B52/National!B54</f>
        <v>3.5364530631494875E-3</v>
      </c>
      <c r="E52" s="51"/>
      <c r="F52" s="60" t="s">
        <v>1</v>
      </c>
      <c r="G52" s="190">
        <f>SUM(G50:G51)</f>
        <v>171566</v>
      </c>
      <c r="H52" s="185">
        <f>SUM(H50:H51)</f>
        <v>1</v>
      </c>
      <c r="I52" s="192">
        <f>+G52/National!G54</f>
        <v>4.7153552857198966E-3</v>
      </c>
    </row>
    <row r="53" spans="1:9">
      <c r="A53" s="146" t="s">
        <v>6</v>
      </c>
      <c r="B53" s="157">
        <f>592+347</f>
        <v>939</v>
      </c>
      <c r="C53" s="175">
        <f t="shared" si="6"/>
        <v>9.9396633852016511E-2</v>
      </c>
      <c r="D53" s="78">
        <f>B53/National!B55</f>
        <v>1.775020415570275E-3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692+742+515</f>
        <v>1949</v>
      </c>
      <c r="C54" s="175">
        <f t="shared" si="6"/>
        <v>0.20630888112628348</v>
      </c>
      <c r="D54" s="78">
        <f>B54/National!B56</f>
        <v>4.6789437926572511E-3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637+544</f>
        <v>1181</v>
      </c>
      <c r="C55" s="175">
        <f t="shared" si="6"/>
        <v>0.12501323171377157</v>
      </c>
      <c r="D55" s="78">
        <f>B55/National!B57</f>
        <v>2.944535032736448E-3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11</v>
      </c>
      <c r="C56" s="175">
        <f t="shared" si="6"/>
        <v>1.164390811897957E-3</v>
      </c>
      <c r="D56" s="78">
        <f>B56/National!B58</f>
        <v>4.9410665516745726E-5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9447</v>
      </c>
      <c r="C57" s="178">
        <f>SUM(C51:C56)</f>
        <v>0.99999999999999989</v>
      </c>
      <c r="D57" s="177">
        <f>B57/National!B59</f>
        <v>3.1770544498099722E-3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AA45"/>
  <sheetViews>
    <sheetView workbookViewId="0">
      <selection activeCell="G11" sqref="G11"/>
    </sheetView>
  </sheetViews>
  <sheetFormatPr defaultRowHeight="15"/>
  <cols>
    <col min="2" max="4" width="25.7109375" customWidth="1"/>
  </cols>
  <sheetData>
    <row r="1" spans="1:27" ht="23.25">
      <c r="A1" s="38"/>
      <c r="B1" s="44" t="s">
        <v>157</v>
      </c>
      <c r="C1" s="38"/>
      <c r="D1" s="38"/>
      <c r="E1" s="38"/>
      <c r="F1" s="38"/>
      <c r="G1" s="3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38"/>
      <c r="B2" s="38"/>
      <c r="C2" s="38"/>
      <c r="D2" s="38"/>
      <c r="E2" s="38"/>
      <c r="F2" s="38"/>
      <c r="G2" s="3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38"/>
      <c r="B3" s="38"/>
      <c r="C3" s="38"/>
      <c r="D3" s="38"/>
      <c r="E3" s="38"/>
      <c r="F3" s="38"/>
      <c r="G3" s="3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38"/>
      <c r="B4" s="38"/>
      <c r="C4" s="38"/>
      <c r="D4" s="38"/>
      <c r="E4" s="38"/>
      <c r="F4" s="38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38"/>
      <c r="B5" s="38"/>
      <c r="C5" s="38"/>
      <c r="D5" s="38"/>
      <c r="E5" s="38"/>
      <c r="F5" s="38"/>
      <c r="G5" s="3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38"/>
      <c r="B6" s="38"/>
      <c r="C6" s="38"/>
      <c r="D6" s="38"/>
      <c r="E6" s="38"/>
      <c r="F6" s="38"/>
      <c r="G6" s="3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38"/>
      <c r="B7" s="38"/>
      <c r="C7" s="38"/>
      <c r="D7" s="38"/>
      <c r="E7" s="38"/>
      <c r="F7" s="38"/>
      <c r="G7" s="3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38"/>
      <c r="B8" s="38"/>
      <c r="C8" s="38"/>
      <c r="D8" s="38"/>
      <c r="E8" s="38"/>
      <c r="F8" s="38"/>
      <c r="G8" s="3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38"/>
      <c r="B9" s="38"/>
      <c r="C9" s="38"/>
      <c r="D9" s="38"/>
      <c r="E9" s="38"/>
      <c r="F9" s="38"/>
      <c r="G9" s="3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38"/>
      <c r="B10" s="38"/>
      <c r="C10" s="38"/>
      <c r="D10" s="38"/>
      <c r="E10" s="38"/>
      <c r="F10" s="38"/>
      <c r="G10" s="3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38"/>
      <c r="B11" s="38"/>
      <c r="C11" s="38"/>
      <c r="D11" s="38"/>
      <c r="E11" s="38"/>
      <c r="F11" s="38"/>
      <c r="G11" s="3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38"/>
      <c r="B12" s="38"/>
      <c r="C12" s="38"/>
      <c r="D12" s="38"/>
      <c r="E12" s="38"/>
      <c r="F12" s="38"/>
      <c r="G12" s="3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38"/>
      <c r="B13" s="38"/>
      <c r="C13" s="38"/>
      <c r="D13" s="38"/>
      <c r="E13" s="38"/>
      <c r="F13" s="38"/>
      <c r="G13" s="3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38"/>
      <c r="B14" s="38"/>
      <c r="C14" s="38"/>
      <c r="D14" s="38"/>
      <c r="E14" s="38"/>
      <c r="F14" s="38"/>
      <c r="G14" s="3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38"/>
      <c r="B15" s="38"/>
      <c r="C15" s="38"/>
      <c r="D15" s="38"/>
      <c r="E15" s="38"/>
      <c r="F15" s="38"/>
      <c r="G15" s="3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38"/>
      <c r="B16" s="38"/>
      <c r="C16" s="38"/>
      <c r="D16" s="38"/>
      <c r="E16" s="38"/>
      <c r="F16" s="38"/>
      <c r="G16" s="3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38"/>
      <c r="B17" s="38"/>
      <c r="C17" s="38"/>
      <c r="D17" s="38"/>
      <c r="E17" s="38"/>
      <c r="F17" s="38"/>
      <c r="G17" s="3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38"/>
      <c r="B18" s="38"/>
      <c r="C18" s="38"/>
      <c r="D18" s="38"/>
      <c r="E18" s="38"/>
      <c r="F18" s="38"/>
      <c r="G18" s="3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38"/>
      <c r="B19" s="38"/>
      <c r="C19" s="38"/>
      <c r="D19" s="38"/>
      <c r="E19" s="38"/>
      <c r="F19" s="38"/>
      <c r="G19" s="3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>
      <c r="A20" s="38"/>
      <c r="B20" s="38"/>
      <c r="C20" s="38"/>
      <c r="D20" s="38"/>
      <c r="E20" s="38"/>
      <c r="F20" s="38"/>
      <c r="G20" s="3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>
      <c r="A21" s="38"/>
      <c r="B21" s="38"/>
      <c r="C21" s="38"/>
      <c r="D21" s="38"/>
      <c r="E21" s="38"/>
      <c r="F21" s="38"/>
      <c r="G21" s="3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38"/>
      <c r="B22" s="38"/>
      <c r="C22" s="38"/>
      <c r="D22" s="38"/>
      <c r="E22" s="38"/>
      <c r="F22" s="38"/>
      <c r="G22" s="3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38"/>
      <c r="B23" s="38"/>
      <c r="C23" s="38"/>
      <c r="D23" s="38"/>
      <c r="E23" s="38"/>
      <c r="F23" s="38"/>
      <c r="G23" s="3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38"/>
      <c r="B24" s="38"/>
      <c r="C24" s="38"/>
      <c r="D24" s="38"/>
      <c r="E24" s="38"/>
      <c r="F24" s="38"/>
      <c r="G24" s="3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1"/>
      <c r="B25" s="5" t="s">
        <v>156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"/>
      <c r="B26" s="35" t="s">
        <v>98</v>
      </c>
      <c r="C26" s="35" t="s">
        <v>114</v>
      </c>
      <c r="D26" s="32" t="s">
        <v>131</v>
      </c>
      <c r="E26" s="43" t="s">
        <v>147</v>
      </c>
      <c r="F26" s="39"/>
      <c r="G26" s="4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"/>
      <c r="B27" s="36" t="s">
        <v>99</v>
      </c>
      <c r="C27" s="36" t="s">
        <v>115</v>
      </c>
      <c r="D27" s="33" t="s">
        <v>132</v>
      </c>
      <c r="E27" s="41" t="s">
        <v>148</v>
      </c>
      <c r="F27" s="24"/>
      <c r="G27" s="2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"/>
      <c r="B28" s="36" t="s">
        <v>100</v>
      </c>
      <c r="C28" s="36" t="s">
        <v>116</v>
      </c>
      <c r="D28" s="33" t="s">
        <v>133</v>
      </c>
      <c r="E28" s="42" t="s">
        <v>155</v>
      </c>
      <c r="F28" s="27"/>
      <c r="G28" s="2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"/>
      <c r="B29" s="36" t="s">
        <v>101</v>
      </c>
      <c r="C29" s="36" t="s">
        <v>117</v>
      </c>
      <c r="D29" s="33" t="s">
        <v>134</v>
      </c>
      <c r="E29" s="42" t="s">
        <v>149</v>
      </c>
      <c r="F29" s="27"/>
      <c r="G29" s="2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36" t="s">
        <v>102</v>
      </c>
      <c r="C30" s="36" t="s">
        <v>118</v>
      </c>
      <c r="D30" s="33" t="s">
        <v>135</v>
      </c>
      <c r="E30" s="42" t="s">
        <v>150</v>
      </c>
      <c r="F30" s="27"/>
      <c r="G30" s="2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36" t="s">
        <v>103</v>
      </c>
      <c r="C31" s="36" t="s">
        <v>119</v>
      </c>
      <c r="D31" s="33" t="s">
        <v>136</v>
      </c>
      <c r="E31" s="42" t="s">
        <v>151</v>
      </c>
      <c r="F31" s="27"/>
      <c r="G31" s="2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"/>
      <c r="B32" s="36" t="s">
        <v>104</v>
      </c>
      <c r="C32" s="36" t="s">
        <v>120</v>
      </c>
      <c r="D32" s="33" t="s">
        <v>137</v>
      </c>
      <c r="E32" s="42" t="s">
        <v>152</v>
      </c>
      <c r="F32" s="27"/>
      <c r="G32" s="2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"/>
      <c r="B33" s="36" t="s">
        <v>105</v>
      </c>
      <c r="C33" s="36" t="s">
        <v>121</v>
      </c>
      <c r="D33" s="33" t="s">
        <v>138</v>
      </c>
      <c r="E33" s="42" t="s">
        <v>153</v>
      </c>
      <c r="F33" s="27"/>
      <c r="G33" s="2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"/>
      <c r="B34" s="36" t="s">
        <v>48</v>
      </c>
      <c r="C34" s="36" t="s">
        <v>122</v>
      </c>
      <c r="D34" s="33" t="s">
        <v>139</v>
      </c>
      <c r="E34" s="42" t="s">
        <v>154</v>
      </c>
      <c r="F34" s="27"/>
      <c r="G34" s="2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36" t="s">
        <v>106</v>
      </c>
      <c r="C35" s="36" t="s">
        <v>123</v>
      </c>
      <c r="D35" s="33" t="s">
        <v>140</v>
      </c>
      <c r="E35" s="26"/>
      <c r="F35" s="27"/>
      <c r="G35" s="2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36" t="s">
        <v>107</v>
      </c>
      <c r="C36" s="36" t="s">
        <v>124</v>
      </c>
      <c r="D36" s="33" t="s">
        <v>141</v>
      </c>
      <c r="E36" s="26"/>
      <c r="F36" s="27"/>
      <c r="G36" s="2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36" t="s">
        <v>108</v>
      </c>
      <c r="C37" s="36" t="s">
        <v>125</v>
      </c>
      <c r="D37" s="33" t="s">
        <v>142</v>
      </c>
      <c r="E37" s="26"/>
      <c r="F37" s="27"/>
      <c r="G37" s="2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36" t="s">
        <v>109</v>
      </c>
      <c r="C38" s="36" t="s">
        <v>126</v>
      </c>
      <c r="D38" s="33" t="s">
        <v>143</v>
      </c>
      <c r="E38" s="26"/>
      <c r="F38" s="27"/>
      <c r="G38" s="2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36" t="s">
        <v>110</v>
      </c>
      <c r="C39" s="36" t="s">
        <v>127</v>
      </c>
      <c r="D39" s="33" t="s">
        <v>144</v>
      </c>
      <c r="E39" s="26"/>
      <c r="F39" s="27"/>
      <c r="G39" s="2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36" t="s">
        <v>111</v>
      </c>
      <c r="C40" s="36" t="s">
        <v>128</v>
      </c>
      <c r="D40" s="33" t="s">
        <v>145</v>
      </c>
      <c r="E40" s="26"/>
      <c r="F40" s="27"/>
      <c r="G40" s="2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36" t="s">
        <v>112</v>
      </c>
      <c r="C41" s="36" t="s">
        <v>129</v>
      </c>
      <c r="D41" s="33" t="s">
        <v>146</v>
      </c>
      <c r="E41" s="26"/>
      <c r="F41" s="27"/>
      <c r="G41" s="2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37" t="s">
        <v>113</v>
      </c>
      <c r="C42" s="37" t="s">
        <v>130</v>
      </c>
      <c r="D42" s="34"/>
      <c r="E42" s="29"/>
      <c r="F42" s="30"/>
      <c r="G42" s="3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44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211</v>
      </c>
      <c r="B4" s="50">
        <v>36756666</v>
      </c>
      <c r="C4" s="99"/>
      <c r="D4" s="77">
        <f>B4/National!B4</f>
        <v>0.1208863361330947</v>
      </c>
      <c r="E4" s="1"/>
      <c r="F4" s="146" t="s">
        <v>10</v>
      </c>
      <c r="G4" s="195">
        <v>12097957</v>
      </c>
      <c r="H4" s="189">
        <f>G4/G$6</f>
        <v>0.51051257492984436</v>
      </c>
      <c r="I4" s="112">
        <f>+G4/National!G4</f>
        <v>0.11675517849853388</v>
      </c>
    </row>
    <row r="5" spans="1:9">
      <c r="A5" s="8" t="s">
        <v>167</v>
      </c>
      <c r="B5" s="50">
        <f>132759+23200</f>
        <v>155959</v>
      </c>
      <c r="C5" s="100"/>
      <c r="D5" s="79">
        <f>B5/National!B5</f>
        <v>4.4088085144034908E-2</v>
      </c>
      <c r="E5" s="1"/>
      <c r="F5" s="146" t="s">
        <v>11</v>
      </c>
      <c r="G5" s="196">
        <v>11599710</v>
      </c>
      <c r="H5" s="86">
        <f>G5/G$6</f>
        <v>0.48948742507015564</v>
      </c>
      <c r="I5" s="113">
        <f>+G5/National!G5</f>
        <v>0.11078739054015734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23697667</v>
      </c>
      <c r="H6" s="182">
        <f>SUM(H4:H5)</f>
        <v>1</v>
      </c>
      <c r="I6" s="183">
        <f>+G6/National!G6</f>
        <v>0.11375575380564498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15051929</v>
      </c>
      <c r="C8" s="174">
        <f>B8/B10</f>
        <v>0.83582492927911534</v>
      </c>
      <c r="D8" s="77">
        <f>B8/National!B8</f>
        <v>0.11018487479701404</v>
      </c>
      <c r="E8" s="1"/>
      <c r="F8" s="146" t="s">
        <v>32</v>
      </c>
      <c r="G8" s="206">
        <f>18/100</f>
        <v>0.18</v>
      </c>
      <c r="H8" s="87"/>
      <c r="I8" s="87"/>
    </row>
    <row r="9" spans="1:9">
      <c r="A9" s="146" t="s">
        <v>169</v>
      </c>
      <c r="B9" s="150">
        <v>2956542</v>
      </c>
      <c r="C9" s="175">
        <f>B9/B10</f>
        <v>0.16417507072088464</v>
      </c>
      <c r="D9" s="78">
        <f>B9/National!B9</f>
        <v>7.6672977888179991E-2</v>
      </c>
      <c r="E9" s="1"/>
      <c r="F9" s="146" t="s">
        <v>31</v>
      </c>
      <c r="G9" s="207">
        <f>18/100</f>
        <v>0.18</v>
      </c>
      <c r="H9" s="87"/>
      <c r="I9" s="87"/>
    </row>
    <row r="10" spans="1:9">
      <c r="A10" s="9" t="s">
        <v>9</v>
      </c>
      <c r="B10" s="152">
        <f>SUM(B8:B9)</f>
        <v>18008471</v>
      </c>
      <c r="C10" s="176">
        <f>SUM(C8:C9)</f>
        <v>1</v>
      </c>
      <c r="D10" s="165"/>
      <c r="E10" s="1"/>
      <c r="F10" s="146" t="s">
        <v>33</v>
      </c>
      <c r="G10" s="205">
        <f>18/100</f>
        <v>0.18</v>
      </c>
      <c r="H10" s="87"/>
      <c r="I10" s="87"/>
    </row>
    <row r="11" spans="1:9">
      <c r="A11" s="146" t="s">
        <v>170</v>
      </c>
      <c r="B11" s="149">
        <v>263932</v>
      </c>
      <c r="C11" s="93">
        <f>B11/(B12+B11)</f>
        <v>1.753476248791766E-2</v>
      </c>
      <c r="D11" s="77">
        <f>B11/National!B11</f>
        <v>6.9982574091927763E-2</v>
      </c>
      <c r="E11" s="1"/>
      <c r="G11" s="49"/>
      <c r="H11" s="87"/>
      <c r="I11" s="86"/>
    </row>
    <row r="12" spans="1:9" ht="23.25">
      <c r="A12" s="146" t="s">
        <v>171</v>
      </c>
      <c r="B12" s="150">
        <v>14787997</v>
      </c>
      <c r="C12" s="95">
        <f>B12/(B11+B12)</f>
        <v>0.98246523751208237</v>
      </c>
      <c r="D12" s="79">
        <f>B12/National!B12</f>
        <v>0.11185666012374157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19919068</v>
      </c>
      <c r="H13" s="189">
        <f>G13/G$18</f>
        <v>0.58201895694050343</v>
      </c>
      <c r="I13" s="92">
        <f>+G13/National!G13</f>
        <v>0.14530997091964862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13504551</v>
      </c>
      <c r="H14" s="86">
        <f>G14/G$18</f>
        <v>0.39459199029642511</v>
      </c>
      <c r="I14" s="106">
        <f>+G14/National!G14</f>
        <v>0.12249960625113279</v>
      </c>
    </row>
    <row r="15" spans="1:9">
      <c r="A15" s="146" t="s">
        <v>3</v>
      </c>
      <c r="B15" s="149">
        <v>83483</v>
      </c>
      <c r="C15" s="174">
        <f>B15/B$17</f>
        <v>0.48392575588944536</v>
      </c>
      <c r="D15" s="77">
        <f>B15/National!B15</f>
        <v>2.8040512852895379E-2</v>
      </c>
      <c r="E15" s="3"/>
      <c r="F15" s="146" t="s">
        <v>13</v>
      </c>
      <c r="G15" s="150">
        <v>59442</v>
      </c>
      <c r="H15" s="86">
        <f>G15/G$18</f>
        <v>1.7368468664526575E-3</v>
      </c>
      <c r="I15" s="106">
        <f>+G15/National!G15</f>
        <v>7.0486702367343848E-2</v>
      </c>
    </row>
    <row r="16" spans="1:9">
      <c r="A16" s="146" t="s">
        <v>2</v>
      </c>
      <c r="B16" s="150">
        <v>89029</v>
      </c>
      <c r="C16" s="175">
        <f>B16/B$17</f>
        <v>0.51607424411055458</v>
      </c>
      <c r="D16" s="78">
        <f>B16/National!B16</f>
        <v>8.3552940293184677E-2</v>
      </c>
      <c r="E16" s="1"/>
      <c r="F16" s="9" t="s">
        <v>1</v>
      </c>
      <c r="G16" s="162">
        <v>33483061</v>
      </c>
      <c r="H16" s="105"/>
      <c r="I16" s="106"/>
    </row>
    <row r="17" spans="1:9">
      <c r="A17" s="9" t="s">
        <v>1</v>
      </c>
      <c r="B17" s="154">
        <f>SUM(B15:B16)</f>
        <v>172512</v>
      </c>
      <c r="C17" s="176">
        <f>SUM(C15:C16)</f>
        <v>1</v>
      </c>
      <c r="D17" s="177">
        <f>B17/National!B17</f>
        <v>4.2671753610397628E-2</v>
      </c>
      <c r="E17" s="1"/>
      <c r="F17" s="108" t="s">
        <v>35</v>
      </c>
      <c r="G17" s="117">
        <v>741027</v>
      </c>
      <c r="H17" s="105">
        <f>G17/G$18</f>
        <v>2.165220589661878E-2</v>
      </c>
      <c r="I17" s="106">
        <f>+G17/National!G17</f>
        <v>9.6156551175740262E-2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34224088</v>
      </c>
      <c r="H18" s="185">
        <f>SUM(H13:H17)</f>
        <v>1</v>
      </c>
      <c r="I18" s="186">
        <f>+G18/National!G18</f>
        <v>0.13375513825897453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1282+1178</f>
        <v>2460</v>
      </c>
      <c r="C20" s="174">
        <f>B20/B$26</f>
        <v>1.4259960234419835E-2</v>
      </c>
      <c r="D20" s="77">
        <f>B20/National!B20</f>
        <v>5.261919531133024E-2</v>
      </c>
      <c r="E20" s="51"/>
      <c r="F20" s="163" t="s">
        <v>3</v>
      </c>
      <c r="G20" s="108">
        <f>1028+296</f>
        <v>1324</v>
      </c>
      <c r="H20" s="189">
        <f>G20/G$23</f>
        <v>0.38555620267909146</v>
      </c>
      <c r="I20" s="92">
        <f>+G20/National!G20</f>
        <v>6.3632431393281105E-2</v>
      </c>
    </row>
    <row r="21" spans="1:9">
      <c r="A21" s="146" t="s">
        <v>7</v>
      </c>
      <c r="B21" s="157">
        <f>3497+6488</f>
        <v>9985</v>
      </c>
      <c r="C21" s="175">
        <f t="shared" ref="C21:C25" si="0">B21/B$26</f>
        <v>5.7880367049057739E-2</v>
      </c>
      <c r="D21" s="78">
        <f>B21/National!B21</f>
        <v>6.2599526036638126E-2</v>
      </c>
      <c r="E21" s="51"/>
      <c r="F21" s="163" t="s">
        <v>2</v>
      </c>
      <c r="G21" s="198">
        <f>201+1909</f>
        <v>2110</v>
      </c>
      <c r="H21" s="86">
        <f t="shared" ref="H21:H22" si="1">G21/G$23</f>
        <v>0.61444379732090859</v>
      </c>
      <c r="I21" s="106">
        <f>+G21/National!G21</f>
        <v>0.1322386563048383</v>
      </c>
    </row>
    <row r="22" spans="1:9">
      <c r="A22" s="146" t="s">
        <v>6</v>
      </c>
      <c r="B22" s="157">
        <f>6617+10765</f>
        <v>17382</v>
      </c>
      <c r="C22" s="175">
        <f t="shared" si="0"/>
        <v>0.1007587921929616</v>
      </c>
      <c r="D22" s="78">
        <f>B22/National!B22</f>
        <v>7.2066170525923012E-2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12626+8295+11237</f>
        <v>32158</v>
      </c>
      <c r="C23" s="175">
        <f t="shared" si="0"/>
        <v>0.18641130130832237</v>
      </c>
      <c r="D23" s="78">
        <f>B23/National!B23</f>
        <v>4.0466246459297812E-2</v>
      </c>
      <c r="E23" s="51"/>
      <c r="F23" s="9" t="s">
        <v>1</v>
      </c>
      <c r="G23" s="197">
        <f>SUM(G20:G22)</f>
        <v>3434</v>
      </c>
      <c r="H23" s="132">
        <f>SUM(H20:H22)</f>
        <v>1</v>
      </c>
      <c r="I23" s="133">
        <f>+G23/National!G23</f>
        <v>9.2160704221572159E-2</v>
      </c>
    </row>
    <row r="24" spans="1:9">
      <c r="A24" s="146" t="s">
        <v>8</v>
      </c>
      <c r="B24" s="157">
        <f>51165+57824</f>
        <v>108989</v>
      </c>
      <c r="C24" s="175">
        <f t="shared" si="0"/>
        <v>0.6317800024346274</v>
      </c>
      <c r="D24" s="78">
        <f>B24/National!B24</f>
        <v>3.9073905174911015E-2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1537</v>
      </c>
      <c r="C25" s="175">
        <f t="shared" si="0"/>
        <v>8.909576780611092E-3</v>
      </c>
      <c r="D25" s="78">
        <f>B25/National!B25</f>
        <v>0.13559770621967357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172511</v>
      </c>
      <c r="C26" s="176">
        <f>SUM(C20:C25)</f>
        <v>1</v>
      </c>
      <c r="D26" s="177">
        <f>B26/National!B26</f>
        <v>4.267140070515868E-2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15371564</v>
      </c>
      <c r="H27" s="87"/>
      <c r="I27" s="113">
        <f>+G27/National!G27</f>
        <v>0.11132426093570999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14197263</v>
      </c>
      <c r="H28" s="87"/>
      <c r="I28" s="114">
        <f>+G28/National!G28</f>
        <v>0.10676186135996225</v>
      </c>
    </row>
    <row r="29" spans="1:9">
      <c r="A29" s="146" t="s">
        <v>91</v>
      </c>
      <c r="B29" s="149">
        <f>10812+4393</f>
        <v>15205</v>
      </c>
      <c r="C29" s="174">
        <f>B29/B$34</f>
        <v>8.8138796141717671E-2</v>
      </c>
      <c r="D29" s="77">
        <f>B29/National!B29</f>
        <v>1.9500264834244541E-2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52069+13275</f>
        <v>65344</v>
      </c>
      <c r="C30" s="175">
        <f t="shared" ref="C30:C33" si="2">B30/B$34</f>
        <v>0.37877944722685958</v>
      </c>
      <c r="D30" s="78">
        <f>B30/National!B30</f>
        <v>3.6544921103819475E-2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4049+70690</f>
        <v>74739</v>
      </c>
      <c r="C31" s="175">
        <f t="shared" si="2"/>
        <v>0.4332394268224819</v>
      </c>
      <c r="D31" s="78">
        <f>B31/National!B31</f>
        <v>5.8097540499362582E-2</v>
      </c>
      <c r="E31" s="51"/>
      <c r="F31" s="163" t="s">
        <v>16</v>
      </c>
      <c r="G31" s="168">
        <v>3085027</v>
      </c>
      <c r="H31" s="92">
        <f>G31/G$38</f>
        <v>0.17520217500948271</v>
      </c>
      <c r="I31" s="112">
        <f>+G31/National!G31</f>
        <v>7.3032519948356397E-2</v>
      </c>
    </row>
    <row r="32" spans="1:9">
      <c r="A32" s="146" t="s">
        <v>94</v>
      </c>
      <c r="B32" s="157">
        <f>3017+51</f>
        <v>3068</v>
      </c>
      <c r="C32" s="175">
        <f t="shared" si="2"/>
        <v>1.7784270079762566E-2</v>
      </c>
      <c r="D32" s="78">
        <f>B32/National!B32</f>
        <v>5.3808513250434079E-2</v>
      </c>
      <c r="E32" s="51"/>
      <c r="F32" s="163" t="s">
        <v>17</v>
      </c>
      <c r="G32" s="169">
        <v>5315362</v>
      </c>
      <c r="H32" s="106">
        <f t="shared" ref="H32:H37" si="3">G32/G$38</f>
        <v>0.30186542398583677</v>
      </c>
      <c r="I32" s="113">
        <f>+G32/National!G32</f>
        <v>8.5439179958037514E-2</v>
      </c>
    </row>
    <row r="33" spans="1:9">
      <c r="A33" s="146" t="s">
        <v>95</v>
      </c>
      <c r="B33" s="150">
        <f>13536+620</f>
        <v>14156</v>
      </c>
      <c r="C33" s="175">
        <f t="shared" si="2"/>
        <v>8.2058059729178262E-2</v>
      </c>
      <c r="D33" s="78">
        <f>B33/National!B33</f>
        <v>0.1076240002432868</v>
      </c>
      <c r="E33" s="51"/>
      <c r="F33" s="163" t="s">
        <v>18</v>
      </c>
      <c r="G33" s="169">
        <v>3593229</v>
      </c>
      <c r="H33" s="106">
        <f t="shared" si="3"/>
        <v>0.20406354178007147</v>
      </c>
      <c r="I33" s="113">
        <f>+G33/National!G33</f>
        <v>0.11311083869284942</v>
      </c>
    </row>
    <row r="34" spans="1:9">
      <c r="A34" s="9" t="s">
        <v>1</v>
      </c>
      <c r="B34" s="154">
        <f>SUM(B29:B33)</f>
        <v>172512</v>
      </c>
      <c r="C34" s="176">
        <f>SUM(C29:C33)</f>
        <v>1</v>
      </c>
      <c r="D34" s="180">
        <f>B34/National!B34</f>
        <v>4.2671753610397628E-2</v>
      </c>
      <c r="E34" s="51"/>
      <c r="F34" s="163" t="s">
        <v>19</v>
      </c>
      <c r="G34" s="169">
        <v>298675</v>
      </c>
      <c r="H34" s="106">
        <f t="shared" si="3"/>
        <v>1.6962091294811115E-2</v>
      </c>
      <c r="I34" s="113">
        <f>+G34/National!G34</f>
        <v>3.4778357038624794E-2</v>
      </c>
    </row>
    <row r="35" spans="1:9">
      <c r="B35" s="49"/>
      <c r="C35" s="96"/>
      <c r="D35" s="96"/>
      <c r="E35" s="51"/>
      <c r="F35" s="163" t="s">
        <v>20</v>
      </c>
      <c r="G35" s="169">
        <v>1395545</v>
      </c>
      <c r="H35" s="106">
        <f t="shared" si="3"/>
        <v>7.9254580048605264E-2</v>
      </c>
      <c r="I35" s="113">
        <f>+G35/National!G35</f>
        <v>0.10467589510005845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3034659</v>
      </c>
      <c r="H36" s="106">
        <f t="shared" si="3"/>
        <v>0.17234171928223052</v>
      </c>
      <c r="I36" s="113">
        <f>+G36/National!G36</f>
        <v>0.19181728649364171</v>
      </c>
    </row>
    <row r="37" spans="1:9">
      <c r="A37" s="146" t="s">
        <v>5</v>
      </c>
      <c r="B37" s="149">
        <f>5869+8916</f>
        <v>14785</v>
      </c>
      <c r="C37" s="174">
        <f>B37/B$43</f>
        <v>3.8243267012239915E-2</v>
      </c>
      <c r="D37" s="77">
        <f>B37/National!B37</f>
        <v>6.9222053673427347E-2</v>
      </c>
      <c r="E37" s="51"/>
      <c r="F37" s="163" t="s">
        <v>22</v>
      </c>
      <c r="G37" s="170">
        <v>885886</v>
      </c>
      <c r="H37" s="106">
        <f t="shared" si="3"/>
        <v>5.031046859896221E-2</v>
      </c>
      <c r="I37" s="114">
        <f>+G37/National!G37</f>
        <v>3.4529164079731785E-2</v>
      </c>
    </row>
    <row r="38" spans="1:9">
      <c r="A38" s="146" t="s">
        <v>7</v>
      </c>
      <c r="B38" s="157">
        <f>9521+26227</f>
        <v>35748</v>
      </c>
      <c r="C38" s="175">
        <f t="shared" ref="C38:C42" si="4">B38/B$43</f>
        <v>9.246671012198529E-2</v>
      </c>
      <c r="D38" s="78">
        <f>B38/National!B38</f>
        <v>7.4862099439183441E-2</v>
      </c>
      <c r="E38" s="51"/>
      <c r="F38" s="47" t="s">
        <v>1</v>
      </c>
      <c r="G38" s="187">
        <f>SUM(G31:G37)</f>
        <v>17608383</v>
      </c>
      <c r="H38" s="188">
        <f>SUM(H31:H37)</f>
        <v>1</v>
      </c>
      <c r="I38" s="188">
        <f>+G38/National!G39</f>
        <v>8.7482109545041958E-2</v>
      </c>
    </row>
    <row r="39" spans="1:9">
      <c r="A39" s="146" t="s">
        <v>6</v>
      </c>
      <c r="B39" s="157">
        <f>13581+29762</f>
        <v>43343</v>
      </c>
      <c r="C39" s="175">
        <f t="shared" si="4"/>
        <v>0.11211213541505002</v>
      </c>
      <c r="D39" s="78">
        <f>B39/National!B39</f>
        <v>7.8422609623926831E-2</v>
      </c>
      <c r="E39" s="51"/>
      <c r="H39" s="87"/>
      <c r="I39" s="87"/>
    </row>
    <row r="40" spans="1:9" ht="23.25">
      <c r="A40" s="146" t="s">
        <v>30</v>
      </c>
      <c r="B40" s="157">
        <f>25481+16589+23862</f>
        <v>65932</v>
      </c>
      <c r="C40" s="175">
        <f t="shared" si="4"/>
        <v>0.17054143257700385</v>
      </c>
      <c r="D40" s="78">
        <f>B40/National!B40</f>
        <v>4.0982251301285313E-2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102331+115647</f>
        <v>217978</v>
      </c>
      <c r="C41" s="175">
        <f t="shared" si="4"/>
        <v>0.56382758585012049</v>
      </c>
      <c r="D41" s="78">
        <f>B41/National!B41</f>
        <v>3.9073933191888149E-2</v>
      </c>
      <c r="E41" s="51"/>
      <c r="F41" s="163" t="s">
        <v>38</v>
      </c>
      <c r="G41" s="168">
        <v>10251996</v>
      </c>
      <c r="H41" s="189">
        <f>G41/G$47</f>
        <v>0.56859475567082252</v>
      </c>
      <c r="I41" s="113">
        <f>+G41/National!G42</f>
        <v>0.11304698076449517</v>
      </c>
    </row>
    <row r="42" spans="1:9">
      <c r="A42" s="156" t="s">
        <v>29</v>
      </c>
      <c r="B42" s="150">
        <v>8818</v>
      </c>
      <c r="C42" s="175">
        <f t="shared" si="4"/>
        <v>2.2808869023600378E-2</v>
      </c>
      <c r="D42" s="78">
        <f>B42/National!B42</f>
        <v>0.16707086017430844</v>
      </c>
      <c r="E42" s="51"/>
      <c r="F42" s="163" t="s">
        <v>39</v>
      </c>
      <c r="G42" s="169">
        <v>3806239</v>
      </c>
      <c r="H42" s="86">
        <f t="shared" ref="H42:H46" si="5">G42/G$47</f>
        <v>0.2111010903856923</v>
      </c>
      <c r="I42" s="113">
        <f>+G42/National!G43</f>
        <v>8.5464979218786416E-2</v>
      </c>
    </row>
    <row r="43" spans="1:9">
      <c r="A43" s="9" t="s">
        <v>1</v>
      </c>
      <c r="B43" s="154">
        <f>SUM(B37:B42)</f>
        <v>386604</v>
      </c>
      <c r="C43" s="178">
        <f>SUM(C37:C42)</f>
        <v>1</v>
      </c>
      <c r="D43" s="179">
        <f>B43/National!B43</f>
        <v>4.5568766222507412E-2</v>
      </c>
      <c r="E43" s="51"/>
      <c r="F43" s="163" t="s">
        <v>40</v>
      </c>
      <c r="G43" s="169">
        <v>1781295</v>
      </c>
      <c r="H43" s="86">
        <f t="shared" si="5"/>
        <v>9.8793931962386436E-2</v>
      </c>
      <c r="I43" s="113">
        <f>+G43/National!G44</f>
        <v>0.13596659790588106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1438177</v>
      </c>
      <c r="H44" s="86">
        <f t="shared" si="5"/>
        <v>7.9763969857810771E-2</v>
      </c>
      <c r="I44" s="113">
        <f>+G44/National!G45</f>
        <v>9.768558486290721E-2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609156</v>
      </c>
      <c r="H45" s="86">
        <f t="shared" si="5"/>
        <v>3.3784924124571993E-2</v>
      </c>
      <c r="I45" s="113">
        <f>+G45/National!G46</f>
        <v>7.3225942752938949E-2</v>
      </c>
    </row>
    <row r="46" spans="1:9">
      <c r="A46" s="8" t="s">
        <v>3</v>
      </c>
      <c r="B46" s="52">
        <v>58536</v>
      </c>
      <c r="C46" s="93">
        <f>B46/B$48</f>
        <v>0.17885274652750194</v>
      </c>
      <c r="D46" s="77">
        <f>B46/National!B48</f>
        <v>5.9102318415053041E-2</v>
      </c>
      <c r="E46" s="51"/>
      <c r="F46" s="163" t="s">
        <v>43</v>
      </c>
      <c r="G46" s="170">
        <v>143546</v>
      </c>
      <c r="H46" s="86">
        <f t="shared" si="5"/>
        <v>7.9613279987159474E-3</v>
      </c>
      <c r="I46" s="113">
        <f>+G46/National!G47</f>
        <v>1.8019782267763976E-2</v>
      </c>
    </row>
    <row r="47" spans="1:9">
      <c r="A47" s="8" t="s">
        <v>2</v>
      </c>
      <c r="B47" s="52">
        <v>268750</v>
      </c>
      <c r="C47" s="97">
        <f>B47/B$48</f>
        <v>0.82114725347249806</v>
      </c>
      <c r="D47" s="78">
        <f>B47/National!B49</f>
        <v>0.13552076026768312</v>
      </c>
      <c r="E47" s="51"/>
      <c r="F47" s="9" t="s">
        <v>1</v>
      </c>
      <c r="G47" s="191">
        <f>SUM(G41:G46)</f>
        <v>18030409</v>
      </c>
      <c r="H47" s="182">
        <f>SUM(H41:H46)</f>
        <v>1</v>
      </c>
      <c r="I47" s="188">
        <f>+G47/National!G49</f>
        <v>9.9385235509994438E-2</v>
      </c>
    </row>
    <row r="48" spans="1:9">
      <c r="A48" s="9" t="s">
        <v>1</v>
      </c>
      <c r="B48" s="155">
        <f>SUM(B46:B47)</f>
        <v>327286</v>
      </c>
      <c r="C48" s="165">
        <f>SUM(C46:C47)</f>
        <v>1</v>
      </c>
      <c r="D48" s="177">
        <f>B48/National!B50</f>
        <v>0.11006726396321652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 t="s">
        <v>197</v>
      </c>
      <c r="D50" s="119" t="s">
        <v>198</v>
      </c>
      <c r="E50" s="51"/>
      <c r="F50" s="163" t="s">
        <v>96</v>
      </c>
      <c r="G50" s="193">
        <v>3180213</v>
      </c>
      <c r="H50" s="189">
        <f>G50/G$52</f>
        <v>0.85651967116156758</v>
      </c>
      <c r="I50" s="113">
        <f>+G50/National!G52</f>
        <v>0.10146905870013058</v>
      </c>
    </row>
    <row r="51" spans="1:9">
      <c r="A51" s="146" t="s">
        <v>5</v>
      </c>
      <c r="B51" s="149">
        <f>17681+68615</f>
        <v>86296</v>
      </c>
      <c r="C51" s="174">
        <f>B51/B$57</f>
        <v>0.26367152887688444</v>
      </c>
      <c r="D51" s="77">
        <f>B51/National!B53</f>
        <v>0.11995868670426381</v>
      </c>
      <c r="E51" s="51"/>
      <c r="F51" s="163" t="s">
        <v>97</v>
      </c>
      <c r="G51" s="194">
        <v>532735</v>
      </c>
      <c r="H51" s="86">
        <f>G51/G$52</f>
        <v>0.14348032883843242</v>
      </c>
      <c r="I51" s="113">
        <f>+G51/National!G53</f>
        <v>0.10564204907917794</v>
      </c>
    </row>
    <row r="52" spans="1:9">
      <c r="A52" s="146" t="s">
        <v>7</v>
      </c>
      <c r="B52" s="157">
        <f>16387+59727</f>
        <v>76114</v>
      </c>
      <c r="C52" s="175">
        <f t="shared" ref="C52:C56" si="6">B52/B$57</f>
        <v>0.23256112390997477</v>
      </c>
      <c r="D52" s="78">
        <f>B52/National!B54</f>
        <v>0.11113690687388939</v>
      </c>
      <c r="E52" s="51"/>
      <c r="F52" s="60" t="s">
        <v>1</v>
      </c>
      <c r="G52" s="190">
        <f>SUM(G50:G51)</f>
        <v>3712948</v>
      </c>
      <c r="H52" s="185">
        <f>SUM(H50:H51)</f>
        <v>1</v>
      </c>
      <c r="I52" s="192">
        <f>+G52/National!G54</f>
        <v>0.10204742768032779</v>
      </c>
    </row>
    <row r="53" spans="1:9">
      <c r="A53" s="146" t="s">
        <v>6</v>
      </c>
      <c r="B53" s="157">
        <f>9140+49630</f>
        <v>58770</v>
      </c>
      <c r="C53" s="175">
        <f t="shared" si="6"/>
        <v>0.17956771753145567</v>
      </c>
      <c r="D53" s="78">
        <f>B53/National!B55</f>
        <v>0.11109472824607568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9764+2679+18358</f>
        <v>30801</v>
      </c>
      <c r="C54" s="175">
        <f t="shared" si="6"/>
        <v>9.4110349969140139E-2</v>
      </c>
      <c r="D54" s="78">
        <f>B54/National!B56</f>
        <v>7.3943636612435096E-2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2885+17553</f>
        <v>20438</v>
      </c>
      <c r="C55" s="175">
        <f t="shared" si="6"/>
        <v>6.2446911875240617E-2</v>
      </c>
      <c r="D55" s="78">
        <f>B55/National!B57</f>
        <v>5.0957160879820086E-2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54867</v>
      </c>
      <c r="C56" s="175">
        <f t="shared" si="6"/>
        <v>0.16764236783730438</v>
      </c>
      <c r="D56" s="78">
        <f>B56/National!B58</f>
        <v>0.24645590771884432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327286</v>
      </c>
      <c r="C57" s="178">
        <f>SUM(C51:C56)</f>
        <v>1</v>
      </c>
      <c r="D57" s="177">
        <f>B57/National!B59</f>
        <v>0.11006726396321652</v>
      </c>
      <c r="E57" s="51"/>
      <c r="F57" s="51"/>
      <c r="G57" s="51"/>
      <c r="H57" s="87"/>
      <c r="I57" s="87"/>
    </row>
    <row r="58" spans="1:9">
      <c r="B58" s="49"/>
      <c r="C58" s="49"/>
      <c r="D58" s="49"/>
      <c r="E58" s="49"/>
      <c r="F58" s="49"/>
      <c r="G58" s="49"/>
    </row>
    <row r="59" spans="1:9">
      <c r="A59" s="130"/>
    </row>
    <row r="60" spans="1:9">
      <c r="A60" s="131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45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4939456</v>
      </c>
      <c r="C4" s="99"/>
      <c r="D4" s="77">
        <f>B4/National!B4</f>
        <v>1.6245019021328848E-2</v>
      </c>
      <c r="E4" s="1"/>
      <c r="F4" s="146" t="s">
        <v>10</v>
      </c>
      <c r="G4" s="195">
        <v>1844973</v>
      </c>
      <c r="H4" s="189">
        <f>G4/G$6</f>
        <v>0.5116848906808753</v>
      </c>
      <c r="I4" s="112">
        <f>+G4/National!G4</f>
        <v>1.7805498229161797E-2</v>
      </c>
    </row>
    <row r="5" spans="1:9">
      <c r="A5" s="8" t="s">
        <v>167</v>
      </c>
      <c r="B5" s="50">
        <f>101252+2466</f>
        <v>103718</v>
      </c>
      <c r="C5" s="100"/>
      <c r="D5" s="79">
        <f>B5/National!B5</f>
        <v>2.932006498482943E-2</v>
      </c>
      <c r="E5" s="1"/>
      <c r="F5" s="146" t="s">
        <v>11</v>
      </c>
      <c r="G5" s="196">
        <v>1760709</v>
      </c>
      <c r="H5" s="86">
        <f>G5/G$6</f>
        <v>0.48831510931912464</v>
      </c>
      <c r="I5" s="113">
        <f>+G5/National!G5</f>
        <v>1.6816313132877448E-2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3605682</v>
      </c>
      <c r="H6" s="182">
        <f>SUM(H4:H5)</f>
        <v>1</v>
      </c>
      <c r="I6" s="183">
        <f>+G6/National!G6</f>
        <v>1.7308331402135307E-2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2101659</v>
      </c>
      <c r="C8" s="174">
        <f>B8/B10</f>
        <v>0.7828967783152323</v>
      </c>
      <c r="D8" s="77">
        <f>B8/National!B8</f>
        <v>1.5384807739992512E-2</v>
      </c>
      <c r="E8" s="1"/>
      <c r="F8" s="146" t="s">
        <v>32</v>
      </c>
      <c r="G8" s="206">
        <f>22/100</f>
        <v>0.22</v>
      </c>
      <c r="H8" s="87"/>
      <c r="I8" s="87"/>
    </row>
    <row r="9" spans="1:9">
      <c r="A9" s="146" t="s">
        <v>169</v>
      </c>
      <c r="B9" s="150">
        <v>582806</v>
      </c>
      <c r="C9" s="175">
        <f>B9/B10</f>
        <v>0.21710322168476773</v>
      </c>
      <c r="D9" s="78">
        <f>B9/National!B9</f>
        <v>1.5114100036833108E-2</v>
      </c>
      <c r="E9" s="1"/>
      <c r="F9" s="146" t="s">
        <v>31</v>
      </c>
      <c r="G9" s="207">
        <f>20.5/100</f>
        <v>0.20499999999999999</v>
      </c>
      <c r="H9" s="87"/>
      <c r="I9" s="87"/>
    </row>
    <row r="10" spans="1:9">
      <c r="A10" s="9" t="s">
        <v>9</v>
      </c>
      <c r="B10" s="152">
        <f>SUM(B8:B9)</f>
        <v>2684465</v>
      </c>
      <c r="C10" s="176">
        <f>SUM(C8:C9)</f>
        <v>1</v>
      </c>
      <c r="D10" s="165"/>
      <c r="E10" s="1"/>
      <c r="F10" s="146" t="s">
        <v>33</v>
      </c>
      <c r="G10" s="205">
        <f>22/100</f>
        <v>0.22</v>
      </c>
      <c r="H10" s="87"/>
      <c r="I10" s="87"/>
    </row>
    <row r="11" spans="1:9">
      <c r="A11" s="146" t="s">
        <v>170</v>
      </c>
      <c r="B11" s="149">
        <v>39660</v>
      </c>
      <c r="C11" s="93">
        <f>B11/(B12+B11)</f>
        <v>1.9061415149066899E-2</v>
      </c>
      <c r="D11" s="77">
        <f>B11/National!B11</f>
        <v>1.0515999910908321E-2</v>
      </c>
      <c r="E11" s="1"/>
      <c r="G11" s="49"/>
      <c r="H11" s="87"/>
      <c r="I11" s="86"/>
    </row>
    <row r="12" spans="1:9" ht="23.25">
      <c r="A12" s="146" t="s">
        <v>171</v>
      </c>
      <c r="B12" s="150">
        <v>2040983</v>
      </c>
      <c r="C12" s="95">
        <f>B12/(B11+B12)</f>
        <v>0.9809385848509331</v>
      </c>
      <c r="D12" s="79">
        <f>B12/National!B12</f>
        <v>1.5438030028632982E-2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734665</v>
      </c>
      <c r="H13" s="189">
        <f>G13/G$18</f>
        <v>0.42304547365269118</v>
      </c>
      <c r="I13" s="92">
        <f>+G13/National!G13</f>
        <v>5.3593948163480169E-3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877761</v>
      </c>
      <c r="H14" s="86">
        <f>G14/G$18</f>
        <v>0.50544509129856441</v>
      </c>
      <c r="I14" s="106">
        <f>+G14/National!G14</f>
        <v>7.9621585999120285E-3</v>
      </c>
    </row>
    <row r="15" spans="1:9">
      <c r="A15" s="146" t="s">
        <v>3</v>
      </c>
      <c r="B15" s="149">
        <v>68921</v>
      </c>
      <c r="C15" s="174">
        <f>B15/B$17</f>
        <v>0.78083293680465859</v>
      </c>
      <c r="D15" s="77">
        <f>B15/National!B15</f>
        <v>2.3149385938866625E-2</v>
      </c>
      <c r="E15" s="3"/>
      <c r="F15" s="146" t="s">
        <v>13</v>
      </c>
      <c r="G15" s="150">
        <v>5793</v>
      </c>
      <c r="H15" s="86">
        <f>G15/G$18</f>
        <v>3.3358094218045504E-3</v>
      </c>
      <c r="I15" s="106">
        <f>+G15/National!G15</f>
        <v>6.8693763132805568E-3</v>
      </c>
    </row>
    <row r="16" spans="1:9">
      <c r="A16" s="146" t="s">
        <v>2</v>
      </c>
      <c r="B16" s="150">
        <v>19345</v>
      </c>
      <c r="C16" s="175">
        <f>B16/B$17</f>
        <v>0.21916706319534135</v>
      </c>
      <c r="D16" s="78">
        <f>B16/National!B16</f>
        <v>1.8155113838992435E-2</v>
      </c>
      <c r="E16" s="1"/>
      <c r="F16" s="9" t="s">
        <v>1</v>
      </c>
      <c r="G16" s="162">
        <v>1618219</v>
      </c>
      <c r="H16" s="105"/>
      <c r="I16" s="106"/>
    </row>
    <row r="17" spans="1:9">
      <c r="A17" s="9" t="s">
        <v>1</v>
      </c>
      <c r="B17" s="154">
        <f>SUM(B15:B16)</f>
        <v>88266</v>
      </c>
      <c r="C17" s="176">
        <f>SUM(C15:C16)</f>
        <v>1</v>
      </c>
      <c r="D17" s="177">
        <f>B17/National!B17</f>
        <v>2.1833060912721185E-2</v>
      </c>
      <c r="E17" s="1"/>
      <c r="F17" s="108" t="s">
        <v>35</v>
      </c>
      <c r="G17" s="117">
        <v>118391</v>
      </c>
      <c r="H17" s="105">
        <f>G17/G$18</f>
        <v>6.8173625626939849E-2</v>
      </c>
      <c r="I17" s="106">
        <f>+G17/National!G17</f>
        <v>1.5362557977303209E-2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1736610</v>
      </c>
      <c r="H18" s="185">
        <f>SUM(H13:H17)</f>
        <v>1</v>
      </c>
      <c r="I18" s="186">
        <f>+G18/National!G18</f>
        <v>6.7870474927459795E-3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682+271</f>
        <v>953</v>
      </c>
      <c r="C20" s="174">
        <f>B20/B$26</f>
        <v>1.0796909342215576E-2</v>
      </c>
      <c r="D20" s="77">
        <f>B20/National!B20</f>
        <v>2.0384590703942163E-2</v>
      </c>
      <c r="E20" s="51"/>
      <c r="F20" s="163" t="s">
        <v>3</v>
      </c>
      <c r="G20" s="108">
        <f>257+39</f>
        <v>296</v>
      </c>
      <c r="H20" s="189">
        <f>G20/G$23</f>
        <v>0.54014598540145986</v>
      </c>
      <c r="I20" s="92">
        <f>+G20/National!G20</f>
        <v>1.4225981640793963E-2</v>
      </c>
    </row>
    <row r="21" spans="1:9">
      <c r="A21" s="146" t="s">
        <v>7</v>
      </c>
      <c r="B21" s="157">
        <f>2317+1192</f>
        <v>3509</v>
      </c>
      <c r="C21" s="175">
        <f t="shared" ref="C21:C25" si="0">B21/B$26</f>
        <v>3.9754831985135838E-2</v>
      </c>
      <c r="D21" s="78">
        <f>B21/National!B21</f>
        <v>2.1999172444923703E-2</v>
      </c>
      <c r="E21" s="51"/>
      <c r="F21" s="163" t="s">
        <v>2</v>
      </c>
      <c r="G21" s="198">
        <f>229+23</f>
        <v>252</v>
      </c>
      <c r="H21" s="86">
        <f t="shared" ref="H21:H22" si="1">G21/G$23</f>
        <v>0.45985401459854014</v>
      </c>
      <c r="I21" s="106">
        <f>+G21/National!G21</f>
        <v>1.579343193782903E-2</v>
      </c>
    </row>
    <row r="22" spans="1:9">
      <c r="A22" s="146" t="s">
        <v>6</v>
      </c>
      <c r="B22" s="157">
        <f>3753+1656</f>
        <v>5409</v>
      </c>
      <c r="C22" s="175">
        <f t="shared" si="0"/>
        <v>6.128067432533478E-2</v>
      </c>
      <c r="D22" s="78">
        <f>B22/National!B22</f>
        <v>2.2425838014884222E-2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8967+5507+1789</f>
        <v>16263</v>
      </c>
      <c r="C23" s="175">
        <f t="shared" si="0"/>
        <v>0.18424988104139758</v>
      </c>
      <c r="D23" s="78">
        <f>B23/National!B23</f>
        <v>2.046466092939736E-2</v>
      </c>
      <c r="E23" s="51"/>
      <c r="F23" s="9" t="s">
        <v>1</v>
      </c>
      <c r="G23" s="197">
        <f>SUM(G20:G22)</f>
        <v>548</v>
      </c>
      <c r="H23" s="132">
        <f>SUM(H20:H22)</f>
        <v>1</v>
      </c>
      <c r="I23" s="133">
        <f>+G23/National!G23</f>
        <v>1.4707066369662651E-2</v>
      </c>
    </row>
    <row r="24" spans="1:9">
      <c r="A24" s="146" t="s">
        <v>8</v>
      </c>
      <c r="B24" s="157">
        <f>47694+14126</f>
        <v>61820</v>
      </c>
      <c r="C24" s="175">
        <f t="shared" si="0"/>
        <v>0.70038293340584146</v>
      </c>
      <c r="D24" s="78">
        <f>B24/National!B24</f>
        <v>2.2163234986218784E-2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312</v>
      </c>
      <c r="C25" s="175">
        <f t="shared" si="0"/>
        <v>3.5347699000747739E-3</v>
      </c>
      <c r="D25" s="78">
        <f>B25/National!B25</f>
        <v>2.752536391707102E-2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88266</v>
      </c>
      <c r="C26" s="176">
        <f>SUM(C20:C25)</f>
        <v>1</v>
      </c>
      <c r="D26" s="177">
        <f>B26/National!B26</f>
        <v>2.1833006907626389E-2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2069686</v>
      </c>
      <c r="H27" s="87"/>
      <c r="I27" s="113">
        <f>+G27/National!G27</f>
        <v>1.498912305338519E-2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1695189</v>
      </c>
      <c r="H28" s="87"/>
      <c r="I28" s="114">
        <f>+G28/National!G28</f>
        <v>1.2747635441911095E-2</v>
      </c>
    </row>
    <row r="29" spans="1:9">
      <c r="A29" s="146" t="s">
        <v>91</v>
      </c>
      <c r="B29" s="149">
        <f>7702+1399</f>
        <v>9101</v>
      </c>
      <c r="C29" s="174">
        <f>B29/B$34</f>
        <v>0.10310878480955295</v>
      </c>
      <c r="D29" s="77">
        <f>B29/National!B29</f>
        <v>1.1671944114203196E-2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51517+4665</f>
        <v>56182</v>
      </c>
      <c r="C30" s="175">
        <f t="shared" ref="C30:C33" si="2">B30/B$34</f>
        <v>0.63650782860897737</v>
      </c>
      <c r="D30" s="78">
        <f>B30/National!B30</f>
        <v>3.1420891856249786E-2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2406+13234</f>
        <v>15640</v>
      </c>
      <c r="C31" s="175">
        <f t="shared" si="2"/>
        <v>0.1771916706319534</v>
      </c>
      <c r="D31" s="78">
        <f>B31/National!B31</f>
        <v>1.2157582164733683E-2</v>
      </c>
      <c r="E31" s="51"/>
      <c r="F31" s="163" t="s">
        <v>16</v>
      </c>
      <c r="G31" s="168">
        <v>550773</v>
      </c>
      <c r="H31" s="92">
        <f>G31/G$38</f>
        <v>0.16153268836359189</v>
      </c>
      <c r="I31" s="112">
        <f>+G31/National!G31</f>
        <v>1.3038569876216998E-2</v>
      </c>
    </row>
    <row r="32" spans="1:9">
      <c r="A32" s="146" t="s">
        <v>94</v>
      </c>
      <c r="B32" s="157">
        <f>648+15</f>
        <v>663</v>
      </c>
      <c r="C32" s="175">
        <f t="shared" si="2"/>
        <v>7.5113860376588943E-3</v>
      </c>
      <c r="D32" s="78">
        <f>B32/National!B32</f>
        <v>1.1628110914288722E-2</v>
      </c>
      <c r="E32" s="51"/>
      <c r="F32" s="163" t="s">
        <v>17</v>
      </c>
      <c r="G32" s="169">
        <v>1370414</v>
      </c>
      <c r="H32" s="106">
        <f t="shared" ref="H32:H37" si="3">G32/G$38</f>
        <v>0.40191995176071343</v>
      </c>
      <c r="I32" s="113">
        <f>+G32/National!G32</f>
        <v>2.2028047828730014E-2</v>
      </c>
    </row>
    <row r="33" spans="1:9">
      <c r="A33" s="146" t="s">
        <v>95</v>
      </c>
      <c r="B33" s="150">
        <f>6648+32</f>
        <v>6680</v>
      </c>
      <c r="C33" s="175">
        <f t="shared" si="2"/>
        <v>7.5680329911857344E-2</v>
      </c>
      <c r="D33" s="78">
        <f>B33/National!B33</f>
        <v>5.0786120487790042E-2</v>
      </c>
      <c r="E33" s="51"/>
      <c r="F33" s="163" t="s">
        <v>18</v>
      </c>
      <c r="G33" s="169">
        <v>573252</v>
      </c>
      <c r="H33" s="106">
        <f t="shared" si="3"/>
        <v>0.1681254104137381</v>
      </c>
      <c r="I33" s="113">
        <f>+G33/National!G33</f>
        <v>1.8045333181479196E-2</v>
      </c>
    </row>
    <row r="34" spans="1:9">
      <c r="A34" s="9" t="s">
        <v>1</v>
      </c>
      <c r="B34" s="154">
        <f>SUM(B29:B33)</f>
        <v>88266</v>
      </c>
      <c r="C34" s="176">
        <f>SUM(C29:C33)</f>
        <v>1</v>
      </c>
      <c r="D34" s="180">
        <f>B34/National!B34</f>
        <v>2.1833060912721185E-2</v>
      </c>
      <c r="E34" s="51"/>
      <c r="F34" s="163" t="s">
        <v>19</v>
      </c>
      <c r="G34" s="169">
        <v>132152</v>
      </c>
      <c r="H34" s="106">
        <f t="shared" si="3"/>
        <v>3.8758014340981486E-2</v>
      </c>
      <c r="I34" s="113">
        <f>+G34/National!G34</f>
        <v>1.5388062072046014E-2</v>
      </c>
    </row>
    <row r="35" spans="1:9">
      <c r="B35" s="49"/>
      <c r="C35" s="96"/>
      <c r="D35" s="96"/>
      <c r="E35" s="51"/>
      <c r="F35" s="163" t="s">
        <v>20</v>
      </c>
      <c r="G35" s="169">
        <v>392200</v>
      </c>
      <c r="H35" s="106">
        <f t="shared" si="3"/>
        <v>0.11502582802025652</v>
      </c>
      <c r="I35" s="113">
        <f>+G35/National!G35</f>
        <v>2.9417816020438557E-2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350787</v>
      </c>
      <c r="H36" s="106">
        <f t="shared" si="3"/>
        <v>0.10288007428287027</v>
      </c>
      <c r="I36" s="113">
        <f>+G36/National!G36</f>
        <v>2.2172840664221285E-2</v>
      </c>
    </row>
    <row r="37" spans="1:9">
      <c r="A37" s="146" t="s">
        <v>5</v>
      </c>
      <c r="B37" s="149">
        <f>2754+1295</f>
        <v>4049</v>
      </c>
      <c r="C37" s="174">
        <f>B37/B$43</f>
        <v>2.2065635592758506E-2</v>
      </c>
      <c r="D37" s="77">
        <f>B37/National!B37</f>
        <v>1.8957057512594341E-2</v>
      </c>
      <c r="E37" s="51"/>
      <c r="F37" s="163" t="s">
        <v>22</v>
      </c>
      <c r="G37" s="170">
        <v>40091</v>
      </c>
      <c r="H37" s="106">
        <f t="shared" si="3"/>
        <v>1.1758032817848301E-2</v>
      </c>
      <c r="I37" s="114">
        <f>+G37/National!G37</f>
        <v>1.5626262488858916E-3</v>
      </c>
    </row>
    <row r="38" spans="1:9">
      <c r="A38" s="146" t="s">
        <v>7</v>
      </c>
      <c r="B38" s="157">
        <f>5408+4365</f>
        <v>9773</v>
      </c>
      <c r="C38" s="175">
        <f t="shared" ref="C38:C42" si="4">B38/B$43</f>
        <v>5.3259436070147902E-2</v>
      </c>
      <c r="D38" s="78">
        <f>B38/National!B38</f>
        <v>2.0466244204406955E-2</v>
      </c>
      <c r="E38" s="51"/>
      <c r="F38" s="47" t="s">
        <v>1</v>
      </c>
      <c r="G38" s="187">
        <f>SUM(G31:G37)</f>
        <v>3409669</v>
      </c>
      <c r="H38" s="188">
        <f>SUM(H31:H37)</f>
        <v>0.99999999999999989</v>
      </c>
      <c r="I38" s="188">
        <f>+G38/National!G39</f>
        <v>1.6939944852990402E-2</v>
      </c>
    </row>
    <row r="39" spans="1:9">
      <c r="A39" s="146" t="s">
        <v>6</v>
      </c>
      <c r="B39" s="157">
        <f>7631+4243</f>
        <v>11874</v>
      </c>
      <c r="C39" s="175">
        <f t="shared" si="4"/>
        <v>6.4709152143347617E-2</v>
      </c>
      <c r="D39" s="78">
        <f>B39/National!B39</f>
        <v>2.1484208907424664E-2</v>
      </c>
      <c r="E39" s="51"/>
      <c r="H39" s="87"/>
      <c r="I39" s="87"/>
    </row>
    <row r="40" spans="1:9" ht="23.25">
      <c r="A40" s="146" t="s">
        <v>30</v>
      </c>
      <c r="B40" s="157">
        <f>11046+17934+3873</f>
        <v>32853</v>
      </c>
      <c r="C40" s="175">
        <f t="shared" si="4"/>
        <v>0.17903737370434555</v>
      </c>
      <c r="D40" s="78">
        <f>B40/National!B40</f>
        <v>2.0420886701467061E-2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95388+28250</f>
        <v>123638</v>
      </c>
      <c r="C41" s="175">
        <f t="shared" si="4"/>
        <v>0.67378391045134012</v>
      </c>
      <c r="D41" s="78">
        <f>B41/National!B41</f>
        <v>2.2162892365186704E-2</v>
      </c>
      <c r="E41" s="51"/>
      <c r="F41" s="163" t="s">
        <v>38</v>
      </c>
      <c r="G41" s="168">
        <v>753436</v>
      </c>
      <c r="H41" s="189">
        <f>G41/G$47</f>
        <v>0.292988141819084</v>
      </c>
      <c r="I41" s="113">
        <f>+G41/National!G42</f>
        <v>8.3080080210017823E-3</v>
      </c>
    </row>
    <row r="42" spans="1:9">
      <c r="A42" s="156" t="s">
        <v>29</v>
      </c>
      <c r="B42" s="150">
        <v>1311</v>
      </c>
      <c r="C42" s="175">
        <f t="shared" si="4"/>
        <v>7.1444920380603601E-3</v>
      </c>
      <c r="D42" s="78">
        <f>B42/National!B42</f>
        <v>2.4838954149298976E-2</v>
      </c>
      <c r="E42" s="51"/>
      <c r="F42" s="163" t="s">
        <v>39</v>
      </c>
      <c r="G42" s="169">
        <v>822832</v>
      </c>
      <c r="H42" s="86">
        <f t="shared" ref="H42:H46" si="5">G42/G$47</f>
        <v>0.31997411685834037</v>
      </c>
      <c r="I42" s="113">
        <f>+G42/National!G43</f>
        <v>1.8475802433991263E-2</v>
      </c>
    </row>
    <row r="43" spans="1:9">
      <c r="A43" s="9" t="s">
        <v>1</v>
      </c>
      <c r="B43" s="154">
        <f>SUM(B37:B42)</f>
        <v>183498</v>
      </c>
      <c r="C43" s="178">
        <f>SUM(C37:C42)</f>
        <v>1</v>
      </c>
      <c r="D43" s="179">
        <f>B43/National!B43</f>
        <v>2.1628791901526279E-2</v>
      </c>
      <c r="E43" s="51"/>
      <c r="F43" s="163" t="s">
        <v>40</v>
      </c>
      <c r="G43" s="169">
        <v>342406</v>
      </c>
      <c r="H43" s="86">
        <f t="shared" si="5"/>
        <v>0.13315118694581263</v>
      </c>
      <c r="I43" s="113">
        <f>+G43/National!G44</f>
        <v>2.6135917364928946E-2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285986</v>
      </c>
      <c r="H44" s="86">
        <f t="shared" si="5"/>
        <v>0.11121118014837697</v>
      </c>
      <c r="I44" s="113">
        <f>+G44/National!G45</f>
        <v>1.9425084445519141E-2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118267</v>
      </c>
      <c r="H45" s="86">
        <f t="shared" si="5"/>
        <v>4.5990407371717848E-2</v>
      </c>
      <c r="I45" s="113">
        <f>+G45/National!G46</f>
        <v>1.4216740164361561E-2</v>
      </c>
    </row>
    <row r="46" spans="1:9">
      <c r="A46" s="8" t="s">
        <v>3</v>
      </c>
      <c r="B46" s="52">
        <v>15625</v>
      </c>
      <c r="C46" s="93">
        <f>B46/B$48</f>
        <v>0.32647304638529046</v>
      </c>
      <c r="D46" s="77">
        <f>B46/National!B48</f>
        <v>1.5776167234440409E-2</v>
      </c>
      <c r="E46" s="51"/>
      <c r="F46" s="163" t="s">
        <v>43</v>
      </c>
      <c r="G46" s="170">
        <v>248631</v>
      </c>
      <c r="H46" s="86">
        <f t="shared" si="5"/>
        <v>9.668496685666822E-2</v>
      </c>
      <c r="I46" s="113">
        <f>+G46/National!G47</f>
        <v>3.1211433861037058E-2</v>
      </c>
    </row>
    <row r="47" spans="1:9">
      <c r="A47" s="8" t="s">
        <v>2</v>
      </c>
      <c r="B47" s="52">
        <v>32235</v>
      </c>
      <c r="C47" s="97">
        <f>B47/B$48</f>
        <v>0.6735269536147096</v>
      </c>
      <c r="D47" s="78">
        <f>B47/National!B49</f>
        <v>1.6254927282711686E-2</v>
      </c>
      <c r="E47" s="51"/>
      <c r="F47" s="9" t="s">
        <v>1</v>
      </c>
      <c r="G47" s="191">
        <f>SUM(G41:G46)</f>
        <v>2571558</v>
      </c>
      <c r="H47" s="182">
        <f>SUM(H41:H46)</f>
        <v>1</v>
      </c>
      <c r="I47" s="188">
        <f>+G47/National!G49</f>
        <v>1.4174658903057066E-2</v>
      </c>
    </row>
    <row r="48" spans="1:9">
      <c r="A48" s="9" t="s">
        <v>1</v>
      </c>
      <c r="B48" s="155">
        <f>SUM(B46:B47)</f>
        <v>47860</v>
      </c>
      <c r="C48" s="165">
        <f>SUM(C46:C47)</f>
        <v>1</v>
      </c>
      <c r="D48" s="177">
        <f>B48/National!B50</f>
        <v>1.6095461624632715E-2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 t="s">
        <v>197</v>
      </c>
      <c r="D50" s="119" t="s">
        <v>198</v>
      </c>
      <c r="E50" s="51"/>
      <c r="F50" s="163" t="s">
        <v>96</v>
      </c>
      <c r="G50" s="193">
        <v>476782</v>
      </c>
      <c r="H50" s="189">
        <f>G50/G$52</f>
        <v>0.86076337862380981</v>
      </c>
      <c r="I50" s="113">
        <f>+G50/National!G52</f>
        <v>1.521238380736311E-2</v>
      </c>
    </row>
    <row r="51" spans="1:9">
      <c r="A51" s="146" t="s">
        <v>5</v>
      </c>
      <c r="B51" s="149">
        <f>4409+7312</f>
        <v>11721</v>
      </c>
      <c r="C51" s="174">
        <f>B51/B$57</f>
        <v>0.2449017969076473</v>
      </c>
      <c r="D51" s="77">
        <f>B51/National!B53</f>
        <v>1.6293174270657691E-2</v>
      </c>
      <c r="E51" s="51"/>
      <c r="F51" s="163" t="s">
        <v>97</v>
      </c>
      <c r="G51" s="194">
        <v>77124</v>
      </c>
      <c r="H51" s="86">
        <f>G51/G$52</f>
        <v>0.13923662137619019</v>
      </c>
      <c r="I51" s="113">
        <f>+G51/National!G53</f>
        <v>1.5293790333247338E-2</v>
      </c>
    </row>
    <row r="52" spans="1:9">
      <c r="A52" s="146" t="s">
        <v>7</v>
      </c>
      <c r="B52" s="157">
        <f>4001+9381</f>
        <v>13382</v>
      </c>
      <c r="C52" s="175">
        <f t="shared" ref="C52:C56" si="6">B52/B$57</f>
        <v>0.27960718763058923</v>
      </c>
      <c r="D52" s="78">
        <f>B52/National!B54</f>
        <v>1.9539560235783005E-2</v>
      </c>
      <c r="E52" s="51"/>
      <c r="F52" s="60" t="s">
        <v>1</v>
      </c>
      <c r="G52" s="190">
        <f>SUM(G50:G51)</f>
        <v>553906</v>
      </c>
      <c r="H52" s="185">
        <f>SUM(H50:H51)</f>
        <v>1</v>
      </c>
      <c r="I52" s="192">
        <f>+G52/National!G54</f>
        <v>1.5223666605807474E-2</v>
      </c>
    </row>
    <row r="53" spans="1:9">
      <c r="A53" s="146" t="s">
        <v>6</v>
      </c>
      <c r="B53" s="157">
        <f>2731+5281</f>
        <v>8012</v>
      </c>
      <c r="C53" s="175">
        <f t="shared" si="6"/>
        <v>0.16740493104889259</v>
      </c>
      <c r="D53" s="78">
        <f>B53/National!B55</f>
        <v>1.5145328615068203E-2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2607+2141+781</f>
        <v>5529</v>
      </c>
      <c r="C54" s="175">
        <f t="shared" si="6"/>
        <v>0.11552444630171332</v>
      </c>
      <c r="D54" s="78">
        <f>B54/National!B56</f>
        <v>1.3273412123962002E-2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1562+3221</f>
        <v>4783</v>
      </c>
      <c r="C55" s="175">
        <f t="shared" si="6"/>
        <v>9.993731717509402E-2</v>
      </c>
      <c r="D55" s="78">
        <f>B55/National!B57</f>
        <v>1.1925242219795453E-2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4433</v>
      </c>
      <c r="C56" s="175">
        <f t="shared" si="6"/>
        <v>9.2624320936063514E-2</v>
      </c>
      <c r="D56" s="78">
        <f>B56/National!B58</f>
        <v>1.9912498203248526E-2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47860</v>
      </c>
      <c r="C57" s="178">
        <f>SUM(C51:C56)</f>
        <v>0.99999999999999989</v>
      </c>
      <c r="D57" s="177">
        <f>B57/National!B59</f>
        <v>1.6095461624632715E-2</v>
      </c>
      <c r="E57" s="51"/>
      <c r="F57" s="51"/>
      <c r="G57" s="51"/>
      <c r="H57" s="87"/>
      <c r="I57" s="87"/>
    </row>
    <row r="59" spans="1:9">
      <c r="A59" s="130"/>
    </row>
    <row r="60" spans="1:9">
      <c r="A60" s="131"/>
    </row>
  </sheetData>
  <hyperlinks>
    <hyperlink ref="F2" r:id="rId1"/>
  </hyperlinks>
  <printOptions horizontalCentered="1" verticalCentered="1"/>
  <pageMargins left="0.7" right="0.7" top="0.75" bottom="0.75" header="0.3" footer="0.3"/>
  <pageSetup scale="80" orientation="portrait" horizontalDpi="1200" verticalDpi="1200"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zoomScale="115" zoomScaleNormal="115"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46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210</v>
      </c>
      <c r="B4" s="50">
        <v>3501252</v>
      </c>
      <c r="C4" s="99"/>
      <c r="D4" s="77">
        <f>B4/National!B4</f>
        <v>1.1515014070064736E-2</v>
      </c>
      <c r="E4" s="1"/>
      <c r="F4" s="146" t="s">
        <v>10</v>
      </c>
      <c r="G4" s="195">
        <v>1430864</v>
      </c>
      <c r="H4" s="189">
        <f>G4/G$6</f>
        <v>0.49625501677924505</v>
      </c>
      <c r="I4" s="112">
        <f>+G4/National!G4</f>
        <v>1.3809007729745294E-2</v>
      </c>
    </row>
    <row r="5" spans="1:9">
      <c r="A5" s="8" t="s">
        <v>167</v>
      </c>
      <c r="B5" s="50">
        <f>2773+2072</f>
        <v>4845</v>
      </c>
      <c r="C5" s="100"/>
      <c r="D5" s="79">
        <f>B5/National!B5</f>
        <v>1.3696341507886632E-3</v>
      </c>
      <c r="E5" s="1"/>
      <c r="F5" s="146" t="s">
        <v>11</v>
      </c>
      <c r="G5" s="196">
        <v>1452460</v>
      </c>
      <c r="H5" s="86">
        <f>G5/G$6</f>
        <v>0.50374498322075489</v>
      </c>
      <c r="I5" s="113">
        <f>+G5/National!G5</f>
        <v>1.3872265191453658E-2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2883324</v>
      </c>
      <c r="H6" s="182">
        <f>SUM(H4:H5)</f>
        <v>1</v>
      </c>
      <c r="I6" s="183">
        <f>+G6/National!G6</f>
        <v>1.3840801083326368E-2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1494165</v>
      </c>
      <c r="C8" s="174">
        <f>B8/B10</f>
        <v>0.83460875471580076</v>
      </c>
      <c r="D8" s="77">
        <f>B8/National!B8</f>
        <v>1.0937759768271594E-2</v>
      </c>
      <c r="E8" s="1"/>
      <c r="F8" s="146" t="s">
        <v>32</v>
      </c>
      <c r="G8" s="206">
        <f>25/100</f>
        <v>0.25</v>
      </c>
      <c r="H8" s="87"/>
      <c r="I8" s="87"/>
    </row>
    <row r="9" spans="1:9">
      <c r="A9" s="146" t="s">
        <v>169</v>
      </c>
      <c r="B9" s="150">
        <v>296093</v>
      </c>
      <c r="C9" s="175">
        <f>B9/B10</f>
        <v>0.16539124528419927</v>
      </c>
      <c r="D9" s="78">
        <f>B9/National!B9</f>
        <v>7.6786773338058043E-3</v>
      </c>
      <c r="E9" s="1"/>
      <c r="F9" s="146" t="s">
        <v>31</v>
      </c>
      <c r="G9" s="207">
        <f>43.4/100</f>
        <v>0.434</v>
      </c>
      <c r="H9" s="87"/>
      <c r="I9" s="87"/>
    </row>
    <row r="10" spans="1:9">
      <c r="A10" s="9" t="s">
        <v>9</v>
      </c>
      <c r="B10" s="152">
        <f>SUM(B8:B9)</f>
        <v>1790258</v>
      </c>
      <c r="C10" s="176">
        <f>SUM(C8:C9)</f>
        <v>1</v>
      </c>
      <c r="D10" s="165"/>
      <c r="E10" s="1"/>
      <c r="F10" s="146" t="s">
        <v>33</v>
      </c>
      <c r="G10" s="205">
        <f>25/100</f>
        <v>0.25</v>
      </c>
      <c r="H10" s="87"/>
      <c r="I10" s="87"/>
    </row>
    <row r="11" spans="1:9">
      <c r="A11" s="146" t="s">
        <v>170</v>
      </c>
      <c r="B11" s="149">
        <v>36926</v>
      </c>
      <c r="C11" s="93">
        <f>B11/(B12+B11)</f>
        <v>2.46252298236968E-2</v>
      </c>
      <c r="D11" s="77">
        <f>B11/National!B11</f>
        <v>9.7910694077206432E-3</v>
      </c>
      <c r="E11" s="1"/>
      <c r="G11" s="49"/>
      <c r="H11" s="87"/>
      <c r="I11" s="86"/>
    </row>
    <row r="12" spans="1:9" ht="23.25">
      <c r="A12" s="146" t="s">
        <v>171</v>
      </c>
      <c r="B12" s="150">
        <v>1462593</v>
      </c>
      <c r="C12" s="95">
        <f>B12/(B11+B12)</f>
        <v>0.97537477017630325</v>
      </c>
      <c r="D12" s="79">
        <f>B12/National!B12</f>
        <v>1.1063078258696128E-2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2018461</v>
      </c>
      <c r="H13" s="189">
        <f>G13/G$18</f>
        <v>0.63891138917561585</v>
      </c>
      <c r="I13" s="92">
        <f>+G13/National!G13</f>
        <v>1.472471047402644E-2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1064493</v>
      </c>
      <c r="H14" s="86">
        <f>G14/G$18</f>
        <v>0.33694815079296497</v>
      </c>
      <c r="I14" s="106">
        <f>+G14/National!G14</f>
        <v>9.6560021400998158E-3</v>
      </c>
    </row>
    <row r="15" spans="1:9">
      <c r="A15" s="146" t="s">
        <v>3</v>
      </c>
      <c r="B15" s="149">
        <v>6228</v>
      </c>
      <c r="C15" s="174">
        <f>B15/B$17</f>
        <v>0.29150479756611281</v>
      </c>
      <c r="D15" s="77">
        <f>B15/National!B15</f>
        <v>2.09187875433121E-3</v>
      </c>
      <c r="E15" s="3"/>
      <c r="F15" s="146" t="s">
        <v>13</v>
      </c>
      <c r="G15" s="150">
        <v>10790</v>
      </c>
      <c r="H15" s="86">
        <f>G15/G$18</f>
        <v>3.4154010848883856E-3</v>
      </c>
      <c r="I15" s="106">
        <f>+G15/National!G15</f>
        <v>1.2794850754410014E-2</v>
      </c>
    </row>
    <row r="16" spans="1:9">
      <c r="A16" s="146" t="s">
        <v>2</v>
      </c>
      <c r="B16" s="150">
        <v>15137</v>
      </c>
      <c r="C16" s="175">
        <f>B16/B$17</f>
        <v>0.70849520243388719</v>
      </c>
      <c r="D16" s="78">
        <f>B16/National!B16</f>
        <v>1.4205942526793925E-2</v>
      </c>
      <c r="E16" s="1"/>
      <c r="F16" s="9" t="s">
        <v>1</v>
      </c>
      <c r="G16" s="162">
        <v>3093744</v>
      </c>
      <c r="H16" s="105"/>
      <c r="I16" s="106"/>
    </row>
    <row r="17" spans="1:9">
      <c r="A17" s="9" t="s">
        <v>1</v>
      </c>
      <c r="B17" s="154">
        <f>SUM(B15:B16)</f>
        <v>21365</v>
      </c>
      <c r="C17" s="176">
        <f>SUM(C15:C16)</f>
        <v>1</v>
      </c>
      <c r="D17" s="177">
        <f>B17/National!B17</f>
        <v>5.2847455011022148E-3</v>
      </c>
      <c r="E17" s="1"/>
      <c r="F17" s="108" t="s">
        <v>35</v>
      </c>
      <c r="G17" s="117">
        <v>65475</v>
      </c>
      <c r="H17" s="105">
        <f>G17/G$18</f>
        <v>2.0725058946530771E-2</v>
      </c>
      <c r="I17" s="106">
        <f>+G17/National!G17</f>
        <v>8.4961144306909108E-3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3159219</v>
      </c>
      <c r="H18" s="185">
        <f>SUM(H13:H17)</f>
        <v>0.99999999999999989</v>
      </c>
      <c r="I18" s="186">
        <f>+G18/National!G18</f>
        <v>1.2346911161968122E-2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f>43+303</f>
        <v>346</v>
      </c>
      <c r="C20" s="174">
        <f>B20/B$26</f>
        <v>1.6196227121658944E-2</v>
      </c>
      <c r="D20" s="77">
        <f>B20/National!B20</f>
        <v>7.4009112104553914E-3</v>
      </c>
      <c r="E20" s="51"/>
      <c r="F20" s="163" t="s">
        <v>3</v>
      </c>
      <c r="G20" s="108">
        <f>41+10</f>
        <v>51</v>
      </c>
      <c r="H20" s="189">
        <f>G20/G$23</f>
        <v>0.19318181818181818</v>
      </c>
      <c r="I20" s="92">
        <f>+G20/National!G20</f>
        <v>2.4510981881097709E-3</v>
      </c>
    </row>
    <row r="21" spans="1:9">
      <c r="A21" s="146" t="s">
        <v>7</v>
      </c>
      <c r="B21" s="157">
        <f>164+685</f>
        <v>849</v>
      </c>
      <c r="C21" s="175">
        <f t="shared" ref="C21:C25" si="0">B21/B$26</f>
        <v>3.9741609324533071E-2</v>
      </c>
      <c r="D21" s="78">
        <f>B21/National!B21</f>
        <v>5.3226837861898614E-3</v>
      </c>
      <c r="E21" s="51"/>
      <c r="F21" s="163" t="s">
        <v>2</v>
      </c>
      <c r="G21" s="198">
        <f>179+34</f>
        <v>213</v>
      </c>
      <c r="H21" s="86">
        <f t="shared" ref="H21:H22" si="1">G21/G$23</f>
        <v>0.80681818181818177</v>
      </c>
      <c r="I21" s="106">
        <f>+G21/National!G21</f>
        <v>1.3349210328403109E-2</v>
      </c>
    </row>
    <row r="22" spans="1:9">
      <c r="A22" s="146" t="s">
        <v>6</v>
      </c>
      <c r="B22" s="157">
        <f>248+1661</f>
        <v>1909</v>
      </c>
      <c r="C22" s="175">
        <f t="shared" si="0"/>
        <v>8.936010859897954E-2</v>
      </c>
      <c r="D22" s="78">
        <f>B22/National!B22</f>
        <v>7.9147577686104597E-3</v>
      </c>
      <c r="E22" s="51"/>
      <c r="F22" s="163" t="s">
        <v>28</v>
      </c>
      <c r="G22" s="181">
        <v>0</v>
      </c>
      <c r="H22" s="86">
        <f t="shared" si="1"/>
        <v>0</v>
      </c>
      <c r="I22" s="106">
        <f>+G22/National!G22</f>
        <v>0</v>
      </c>
    </row>
    <row r="23" spans="1:9">
      <c r="A23" s="146" t="s">
        <v>30</v>
      </c>
      <c r="B23" s="157">
        <f>950+1852+399</f>
        <v>3201</v>
      </c>
      <c r="C23" s="175">
        <f t="shared" si="0"/>
        <v>0.14983850582783317</v>
      </c>
      <c r="D23" s="78">
        <f>B23/National!B23</f>
        <v>4.0280009613847968E-3</v>
      </c>
      <c r="E23" s="51"/>
      <c r="F23" s="9" t="s">
        <v>1</v>
      </c>
      <c r="G23" s="197">
        <f>SUM(G20:G22)</f>
        <v>264</v>
      </c>
      <c r="H23" s="132">
        <f>SUM(H20:H22)</f>
        <v>1</v>
      </c>
      <c r="I23" s="133">
        <f>+G23/National!G23</f>
        <v>7.0851560612973348E-3</v>
      </c>
    </row>
    <row r="24" spans="1:9">
      <c r="A24" s="146" t="s">
        <v>8</v>
      </c>
      <c r="B24" s="157">
        <f>10398+4423</f>
        <v>14821</v>
      </c>
      <c r="C24" s="175">
        <f t="shared" si="0"/>
        <v>0.69376960164770862</v>
      </c>
      <c r="D24" s="78">
        <f>B24/National!B24</f>
        <v>5.3135119011767807E-3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237</v>
      </c>
      <c r="C25" s="175">
        <f t="shared" si="0"/>
        <v>1.1093947479286617E-2</v>
      </c>
      <c r="D25" s="78">
        <f>B25/National!B25</f>
        <v>2.090868989854433E-2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21363</v>
      </c>
      <c r="C26" s="176">
        <f>SUM(C20:C25)</f>
        <v>1</v>
      </c>
      <c r="D26" s="177">
        <f>B26/National!B26</f>
        <v>5.2842377197065979E-3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1255688</v>
      </c>
      <c r="H27" s="87"/>
      <c r="I27" s="113">
        <f>+G27/National!G27</f>
        <v>9.0939697851070856E-3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1370262</v>
      </c>
      <c r="H28" s="87"/>
      <c r="I28" s="114">
        <f>+G28/National!G28</f>
        <v>1.0304220022607497E-2</v>
      </c>
    </row>
    <row r="29" spans="1:9">
      <c r="A29" s="146" t="s">
        <v>91</v>
      </c>
      <c r="B29" s="149">
        <f>1289+2428</f>
        <v>3717</v>
      </c>
      <c r="C29" s="174">
        <f>B29/B$34</f>
        <v>0.17397612918324362</v>
      </c>
      <c r="D29" s="77">
        <f>B29/National!B29</f>
        <v>4.7670164017682972E-3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f>0+0</f>
        <v>0</v>
      </c>
      <c r="C30" s="175">
        <f t="shared" ref="C30:C33" si="2">B30/B$34</f>
        <v>0</v>
      </c>
      <c r="D30" s="78">
        <f>B30/National!B30</f>
        <v>0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4645+12587</f>
        <v>17232</v>
      </c>
      <c r="C31" s="175">
        <f t="shared" si="2"/>
        <v>0.80655277322724084</v>
      </c>
      <c r="D31" s="78">
        <f>B31/National!B31</f>
        <v>1.3395105873573582E-2</v>
      </c>
      <c r="E31" s="51"/>
      <c r="F31" s="163" t="s">
        <v>16</v>
      </c>
      <c r="G31" s="168">
        <v>395740</v>
      </c>
      <c r="H31" s="92">
        <f>G31/G$38</f>
        <v>0.27816534861342579</v>
      </c>
      <c r="I31" s="112">
        <f>+G31/National!G31</f>
        <v>9.3684397071281903E-3</v>
      </c>
    </row>
    <row r="32" spans="1:9">
      <c r="A32" s="146" t="s">
        <v>94</v>
      </c>
      <c r="B32" s="157">
        <f>273+58</f>
        <v>331</v>
      </c>
      <c r="C32" s="175">
        <f t="shared" si="2"/>
        <v>1.5492628130119354E-2</v>
      </c>
      <c r="D32" s="78">
        <f>B32/National!B32</f>
        <v>5.8052861427293611E-3</v>
      </c>
      <c r="E32" s="51"/>
      <c r="F32" s="163" t="s">
        <v>17</v>
      </c>
      <c r="G32" s="169">
        <v>654633</v>
      </c>
      <c r="H32" s="106">
        <f t="shared" ref="H32:H37" si="3">G32/G$38</f>
        <v>0.46014104376321013</v>
      </c>
      <c r="I32" s="113">
        <f>+G32/National!G32</f>
        <v>1.0522577144034586E-2</v>
      </c>
    </row>
    <row r="33" spans="1:9">
      <c r="A33" s="146" t="s">
        <v>95</v>
      </c>
      <c r="B33" s="150">
        <f>64+21</f>
        <v>85</v>
      </c>
      <c r="C33" s="175">
        <f t="shared" si="2"/>
        <v>3.9784694593962087E-3</v>
      </c>
      <c r="D33" s="78">
        <f>B33/National!B33</f>
        <v>6.4623057506918468E-4</v>
      </c>
      <c r="E33" s="51"/>
      <c r="F33" s="163" t="s">
        <v>18</v>
      </c>
      <c r="G33" s="169">
        <v>257389</v>
      </c>
      <c r="H33" s="106">
        <f t="shared" si="3"/>
        <v>0.18091853467999458</v>
      </c>
      <c r="I33" s="113">
        <f>+G33/National!G33</f>
        <v>8.1023184607253856E-3</v>
      </c>
    </row>
    <row r="34" spans="1:9">
      <c r="A34" s="9" t="s">
        <v>1</v>
      </c>
      <c r="B34" s="154">
        <f>SUM(B29:B33)</f>
        <v>21365</v>
      </c>
      <c r="C34" s="176">
        <f>SUM(C29:C33)</f>
        <v>0.99999999999999989</v>
      </c>
      <c r="D34" s="180">
        <f>B34/National!B34</f>
        <v>5.2847455011022148E-3</v>
      </c>
      <c r="E34" s="51"/>
      <c r="F34" s="163" t="s">
        <v>19</v>
      </c>
      <c r="G34" s="169">
        <v>0</v>
      </c>
      <c r="H34" s="106">
        <f t="shared" si="3"/>
        <v>0</v>
      </c>
      <c r="I34" s="113">
        <f>+G34/National!G34</f>
        <v>0</v>
      </c>
    </row>
    <row r="35" spans="1:9">
      <c r="B35" s="49"/>
      <c r="C35" s="96"/>
      <c r="D35" s="96"/>
      <c r="E35" s="51"/>
      <c r="F35" s="163" t="s">
        <v>20</v>
      </c>
      <c r="G35" s="169">
        <v>5</v>
      </c>
      <c r="H35" s="106">
        <f t="shared" si="3"/>
        <v>3.5144962426520668E-6</v>
      </c>
      <c r="I35" s="113">
        <f>+G35/National!G35</f>
        <v>3.750359003115573E-7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114912</v>
      </c>
      <c r="H36" s="106">
        <f t="shared" si="3"/>
        <v>8.077155844712687E-2</v>
      </c>
      <c r="I36" s="113">
        <f>+G36/National!G36</f>
        <v>7.2634546502777933E-3</v>
      </c>
    </row>
    <row r="37" spans="1:9">
      <c r="A37" s="146" t="s">
        <v>5</v>
      </c>
      <c r="B37" s="149">
        <f>213+1650</f>
        <v>1863</v>
      </c>
      <c r="C37" s="174">
        <f>B37/B$43</f>
        <v>4.0898314014752371E-2</v>
      </c>
      <c r="D37" s="77">
        <f>B37/National!B37</f>
        <v>8.7224001348390357E-3</v>
      </c>
      <c r="E37" s="51"/>
      <c r="F37" s="163" t="s">
        <v>22</v>
      </c>
      <c r="G37" s="170">
        <v>0</v>
      </c>
      <c r="H37" s="106">
        <f t="shared" si="3"/>
        <v>0</v>
      </c>
      <c r="I37" s="114">
        <f>+G37/National!G37</f>
        <v>0</v>
      </c>
    </row>
    <row r="38" spans="1:9">
      <c r="A38" s="146" t="s">
        <v>7</v>
      </c>
      <c r="B38" s="157">
        <f>412+1817</f>
        <v>2229</v>
      </c>
      <c r="C38" s="175">
        <f t="shared" ref="C38:C42" si="4">B38/B$43</f>
        <v>4.893308746048472E-2</v>
      </c>
      <c r="D38" s="78">
        <f>B38/National!B38</f>
        <v>4.6678868649977596E-3</v>
      </c>
      <c r="E38" s="51"/>
      <c r="F38" s="47" t="s">
        <v>1</v>
      </c>
      <c r="G38" s="187">
        <f>SUM(G31:G37)</f>
        <v>1422679</v>
      </c>
      <c r="H38" s="188">
        <f>SUM(H31:H37)</f>
        <v>1.0000000000000002</v>
      </c>
      <c r="I38" s="188">
        <f>+G38/National!G39</f>
        <v>7.0681652100269944E-3</v>
      </c>
    </row>
    <row r="39" spans="1:9">
      <c r="A39" s="146" t="s">
        <v>6</v>
      </c>
      <c r="B39" s="157">
        <f>500+3781</f>
        <v>4281</v>
      </c>
      <c r="C39" s="175">
        <f t="shared" si="4"/>
        <v>9.3980505795574293E-2</v>
      </c>
      <c r="D39" s="78">
        <f>B39/National!B39</f>
        <v>7.7458226657137431E-3</v>
      </c>
      <c r="E39" s="51"/>
      <c r="H39" s="87"/>
      <c r="I39" s="87"/>
    </row>
    <row r="40" spans="1:9" ht="23.25">
      <c r="A40" s="146" t="s">
        <v>30</v>
      </c>
      <c r="B40" s="157">
        <f>1901+799+3863</f>
        <v>6563</v>
      </c>
      <c r="C40" s="175">
        <f t="shared" si="4"/>
        <v>0.14407709870038637</v>
      </c>
      <c r="D40" s="78">
        <f>B40/National!B40</f>
        <v>4.079453304773638E-3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8847+20796</f>
        <v>29643</v>
      </c>
      <c r="C41" s="175">
        <f t="shared" si="4"/>
        <v>0.6507507903055848</v>
      </c>
      <c r="D41" s="78">
        <f>B41/National!B41</f>
        <v>5.3136949674147871E-3</v>
      </c>
      <c r="E41" s="51"/>
      <c r="F41" s="163" t="s">
        <v>38</v>
      </c>
      <c r="G41" s="168">
        <v>595541</v>
      </c>
      <c r="H41" s="189">
        <f>G41/G$47</f>
        <v>0.38603511219203585</v>
      </c>
      <c r="I41" s="113">
        <f>+G41/National!G42</f>
        <v>6.5669272570403085E-3</v>
      </c>
    </row>
    <row r="42" spans="1:9">
      <c r="A42" s="156" t="s">
        <v>29</v>
      </c>
      <c r="B42" s="150">
        <v>973</v>
      </c>
      <c r="C42" s="175">
        <f t="shared" si="4"/>
        <v>2.1360203723217421E-2</v>
      </c>
      <c r="D42" s="78">
        <f>B42/National!B42</f>
        <v>1.843501326259947E-2</v>
      </c>
      <c r="E42" s="51"/>
      <c r="F42" s="163" t="s">
        <v>39</v>
      </c>
      <c r="G42" s="169">
        <v>315943</v>
      </c>
      <c r="H42" s="86">
        <f t="shared" ref="H42:H46" si="5">G42/G$47</f>
        <v>0.20479713647135694</v>
      </c>
      <c r="I42" s="113">
        <f>+G42/National!G43</f>
        <v>7.0941582831033573E-3</v>
      </c>
    </row>
    <row r="43" spans="1:9">
      <c r="A43" s="9" t="s">
        <v>1</v>
      </c>
      <c r="B43" s="154">
        <f>SUM(B37:B42)</f>
        <v>45552</v>
      </c>
      <c r="C43" s="178">
        <f>SUM(C37:C42)</f>
        <v>1</v>
      </c>
      <c r="D43" s="179">
        <f>B43/National!B43</f>
        <v>5.3691851066405361E-3</v>
      </c>
      <c r="E43" s="51"/>
      <c r="F43" s="163" t="s">
        <v>40</v>
      </c>
      <c r="G43" s="169">
        <v>173651</v>
      </c>
      <c r="H43" s="86">
        <f t="shared" si="5"/>
        <v>0.1125621632553581</v>
      </c>
      <c r="I43" s="113">
        <f>+G43/National!G44</f>
        <v>1.3254815004226785E-2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41468</v>
      </c>
      <c r="H44" s="86">
        <f t="shared" si="5"/>
        <v>2.687993611250836E-2</v>
      </c>
      <c r="I44" s="113">
        <f>+G44/National!G45</f>
        <v>2.8166392822962932E-3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147507</v>
      </c>
      <c r="H45" s="86">
        <f t="shared" si="5"/>
        <v>9.5615383817588773E-2</v>
      </c>
      <c r="I45" s="113">
        <f>+G45/National!G46</f>
        <v>1.773164696343427E-2</v>
      </c>
    </row>
    <row r="46" spans="1:9">
      <c r="A46" s="8" t="s">
        <v>3</v>
      </c>
      <c r="B46" s="52">
        <v>3973</v>
      </c>
      <c r="C46" s="93">
        <f>B46/B$48</f>
        <v>0.12518511516526451</v>
      </c>
      <c r="D46" s="77">
        <f>B46/National!B48</f>
        <v>4.0114375950356315E-3</v>
      </c>
      <c r="E46" s="51"/>
      <c r="F46" s="163" t="s">
        <v>43</v>
      </c>
      <c r="G46" s="170">
        <v>268602</v>
      </c>
      <c r="H46" s="86">
        <f t="shared" si="5"/>
        <v>0.17411026815115199</v>
      </c>
      <c r="I46" s="113">
        <f>+G46/National!G47</f>
        <v>3.3718456499560699E-2</v>
      </c>
    </row>
    <row r="47" spans="1:9">
      <c r="A47" s="8" t="s">
        <v>2</v>
      </c>
      <c r="B47" s="52">
        <v>27764</v>
      </c>
      <c r="C47" s="97">
        <f>B47/B$48</f>
        <v>0.87481488483473546</v>
      </c>
      <c r="D47" s="78">
        <f>B47/National!B49</f>
        <v>1.4000366095151458E-2</v>
      </c>
      <c r="E47" s="51"/>
      <c r="F47" s="9" t="s">
        <v>1</v>
      </c>
      <c r="G47" s="191">
        <f>SUM(G41:G46)</f>
        <v>1542712</v>
      </c>
      <c r="H47" s="182">
        <f>SUM(H41:H46)</f>
        <v>1</v>
      </c>
      <c r="I47" s="188">
        <f>+G47/National!G49</f>
        <v>8.5035672482024413E-3</v>
      </c>
    </row>
    <row r="48" spans="1:9">
      <c r="A48" s="9" t="s">
        <v>1</v>
      </c>
      <c r="B48" s="155">
        <f>SUM(B46:B47)</f>
        <v>31737</v>
      </c>
      <c r="C48" s="165">
        <f>SUM(C46:C47)</f>
        <v>1</v>
      </c>
      <c r="D48" s="177">
        <f>B48/National!B50</f>
        <v>1.0673248340596918E-2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 t="s">
        <v>197</v>
      </c>
      <c r="D50" s="119" t="s">
        <v>198</v>
      </c>
      <c r="E50" s="51"/>
      <c r="F50" s="163" t="s">
        <v>96</v>
      </c>
      <c r="G50" s="193">
        <v>312941</v>
      </c>
      <c r="H50" s="189">
        <f>G50/G$52</f>
        <v>0.85620206895230899</v>
      </c>
      <c r="I50" s="113">
        <f>+G50/National!G52</f>
        <v>9.9848119288480242E-3</v>
      </c>
    </row>
    <row r="51" spans="1:9">
      <c r="A51" s="146" t="s">
        <v>5</v>
      </c>
      <c r="B51" s="149">
        <f>715+9589</f>
        <v>10304</v>
      </c>
      <c r="C51" s="174">
        <f>B51/B$57</f>
        <v>0.32466836815073891</v>
      </c>
      <c r="D51" s="77">
        <f>B51/National!B53</f>
        <v>1.4323425278121051E-2</v>
      </c>
      <c r="E51" s="51"/>
      <c r="F51" s="163" t="s">
        <v>97</v>
      </c>
      <c r="G51" s="194">
        <v>52558</v>
      </c>
      <c r="H51" s="86">
        <f>G51/G$52</f>
        <v>0.14379793104769095</v>
      </c>
      <c r="I51" s="113">
        <f>+G51/National!G53</f>
        <v>1.0422320319677578E-2</v>
      </c>
    </row>
    <row r="52" spans="1:9">
      <c r="A52" s="146" t="s">
        <v>7</v>
      </c>
      <c r="B52" s="157">
        <f>809+3790</f>
        <v>4599</v>
      </c>
      <c r="C52" s="175">
        <f t="shared" ref="C52:C56" si="6">B52/B$57</f>
        <v>0.14490972681727951</v>
      </c>
      <c r="D52" s="78">
        <f>B52/National!B54</f>
        <v>6.7151724349399228E-3</v>
      </c>
      <c r="E52" s="51"/>
      <c r="F52" s="60" t="s">
        <v>1</v>
      </c>
      <c r="G52" s="190">
        <f>SUM(G50:G51)</f>
        <v>365499</v>
      </c>
      <c r="H52" s="185">
        <f>SUM(H50:H51)</f>
        <v>1</v>
      </c>
      <c r="I52" s="192">
        <f>+G52/National!G54</f>
        <v>1.0045449806927575E-2</v>
      </c>
    </row>
    <row r="53" spans="1:9">
      <c r="A53" s="146" t="s">
        <v>6</v>
      </c>
      <c r="B53" s="157">
        <f>491+5262</f>
        <v>5753</v>
      </c>
      <c r="C53" s="175">
        <f t="shared" si="6"/>
        <v>0.18127107161987585</v>
      </c>
      <c r="D53" s="78">
        <f>B53/National!B55</f>
        <v>1.0875071832562078E-2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1010+2604+155</f>
        <v>3769</v>
      </c>
      <c r="C54" s="175">
        <f t="shared" si="6"/>
        <v>0.11875728644799445</v>
      </c>
      <c r="D54" s="78">
        <f>B54/National!B56</f>
        <v>9.0481986426501695E-3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793+2623</f>
        <v>3416</v>
      </c>
      <c r="C55" s="175">
        <f t="shared" si="6"/>
        <v>0.10763462204997322</v>
      </c>
      <c r="D55" s="78">
        <f>B55/National!B57</f>
        <v>8.5169616188210881E-3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3896</v>
      </c>
      <c r="C56" s="175">
        <f t="shared" si="6"/>
        <v>0.12275892491413808</v>
      </c>
      <c r="D56" s="78">
        <f>B56/National!B58</f>
        <v>1.7500359350294668E-2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31737</v>
      </c>
      <c r="C57" s="178">
        <f>SUM(C51:C56)</f>
        <v>1</v>
      </c>
      <c r="D57" s="177">
        <f>B57/National!B59</f>
        <v>1.0673248340596918E-2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workbookViewId="0">
      <selection activeCell="A5" sqref="A5"/>
    </sheetView>
  </sheetViews>
  <sheetFormatPr defaultRowHeight="15"/>
  <cols>
    <col min="1" max="1" width="30.7109375" customWidth="1"/>
    <col min="2" max="2" width="15.7109375" customWidth="1"/>
    <col min="3" max="4" width="8.7109375" customWidth="1"/>
    <col min="5" max="5" width="5.7109375" customWidth="1"/>
    <col min="6" max="6" width="30.7109375" customWidth="1"/>
    <col min="7" max="7" width="15.7109375" customWidth="1"/>
  </cols>
  <sheetData>
    <row r="1" spans="1:9" ht="24.75">
      <c r="A1" s="6" t="s">
        <v>47</v>
      </c>
      <c r="B1" s="16">
        <v>2008</v>
      </c>
      <c r="C1" s="16"/>
      <c r="D1" s="16"/>
      <c r="E1" s="7"/>
      <c r="F1" s="11"/>
      <c r="G1" s="7"/>
    </row>
    <row r="2" spans="1:9" ht="15.75">
      <c r="A2" s="12" t="s">
        <v>24</v>
      </c>
      <c r="B2" s="13"/>
      <c r="C2" s="13"/>
      <c r="D2" s="13"/>
      <c r="E2" s="14"/>
      <c r="F2" s="15" t="s">
        <v>23</v>
      </c>
      <c r="G2" s="7"/>
    </row>
    <row r="3" spans="1:9" ht="25.5">
      <c r="A3" s="67" t="s">
        <v>4</v>
      </c>
      <c r="B3" s="45"/>
      <c r="C3" s="89" t="s">
        <v>197</v>
      </c>
      <c r="D3" s="119" t="s">
        <v>198</v>
      </c>
      <c r="E3" s="1"/>
      <c r="F3" s="67" t="s">
        <v>188</v>
      </c>
      <c r="G3" s="1"/>
      <c r="H3" s="89" t="s">
        <v>197</v>
      </c>
      <c r="I3" s="119" t="s">
        <v>198</v>
      </c>
    </row>
    <row r="4" spans="1:9">
      <c r="A4" s="8" t="s">
        <v>212</v>
      </c>
      <c r="B4" s="50">
        <v>873092</v>
      </c>
      <c r="C4" s="99"/>
      <c r="D4" s="77">
        <f>B4/National!B4</f>
        <v>2.8714490315067181E-3</v>
      </c>
      <c r="E4" s="1"/>
      <c r="F4" s="146" t="s">
        <v>10</v>
      </c>
      <c r="G4" s="195">
        <v>320206</v>
      </c>
      <c r="H4" s="189">
        <f>G4/G$6</f>
        <v>0.49120616312586579</v>
      </c>
      <c r="I4" s="112">
        <f>+G4/National!G4</f>
        <v>3.090249757566632E-3</v>
      </c>
    </row>
    <row r="5" spans="1:9">
      <c r="A5" s="8" t="s">
        <v>167</v>
      </c>
      <c r="B5" s="50">
        <f>1625+329</f>
        <v>1954</v>
      </c>
      <c r="C5" s="100"/>
      <c r="D5" s="79">
        <f>B5/National!B5</f>
        <v>5.5237670395068077E-4</v>
      </c>
      <c r="E5" s="1"/>
      <c r="F5" s="146" t="s">
        <v>11</v>
      </c>
      <c r="G5" s="196">
        <v>331671</v>
      </c>
      <c r="H5" s="86">
        <f>G5/G$6</f>
        <v>0.50879383687413426</v>
      </c>
      <c r="I5" s="113">
        <f>+G5/National!G5</f>
        <v>3.167748556459129E-3</v>
      </c>
    </row>
    <row r="6" spans="1:9">
      <c r="A6" s="1"/>
      <c r="B6" s="51"/>
      <c r="C6" s="96"/>
      <c r="D6" s="96"/>
      <c r="E6" s="1"/>
      <c r="F6" s="9" t="s">
        <v>1</v>
      </c>
      <c r="G6" s="154">
        <f>SUM(G4:G5)</f>
        <v>651877</v>
      </c>
      <c r="H6" s="182">
        <f>SUM(H4:H5)</f>
        <v>1</v>
      </c>
      <c r="I6" s="183">
        <f>+G6/National!G6</f>
        <v>3.129200841735283E-3</v>
      </c>
    </row>
    <row r="7" spans="1:9" ht="23.25">
      <c r="A7" s="67" t="s">
        <v>36</v>
      </c>
      <c r="B7" s="51"/>
      <c r="C7" s="89" t="s">
        <v>197</v>
      </c>
      <c r="D7" s="119" t="s">
        <v>198</v>
      </c>
      <c r="E7" s="1"/>
      <c r="F7" s="67" t="s">
        <v>208</v>
      </c>
      <c r="G7" s="61"/>
      <c r="H7" s="87"/>
      <c r="I7" s="87"/>
    </row>
    <row r="8" spans="1:9">
      <c r="A8" s="146" t="s">
        <v>168</v>
      </c>
      <c r="B8" s="149">
        <v>445872</v>
      </c>
      <c r="C8" s="174">
        <f>B8/B10</f>
        <v>0.8707740200491757</v>
      </c>
      <c r="D8" s="77">
        <f>B8/National!B8</f>
        <v>3.2639238794904125E-3</v>
      </c>
      <c r="E8" s="1"/>
      <c r="F8" s="146" t="s">
        <v>32</v>
      </c>
      <c r="G8" s="206">
        <f>23/100</f>
        <v>0.23</v>
      </c>
      <c r="H8" s="87"/>
      <c r="I8" s="87"/>
    </row>
    <row r="9" spans="1:9">
      <c r="A9" s="146" t="s">
        <v>169</v>
      </c>
      <c r="B9" s="150">
        <v>66169</v>
      </c>
      <c r="C9" s="175">
        <f>B9/B10</f>
        <v>0.12922597995082424</v>
      </c>
      <c r="D9" s="78">
        <f>B9/National!B9</f>
        <v>1.7159824801687182E-3</v>
      </c>
      <c r="E9" s="1"/>
      <c r="F9" s="146" t="s">
        <v>31</v>
      </c>
      <c r="G9" s="207">
        <f>22/100</f>
        <v>0.22</v>
      </c>
      <c r="H9" s="87"/>
      <c r="I9" s="87"/>
    </row>
    <row r="10" spans="1:9">
      <c r="A10" s="9" t="s">
        <v>9</v>
      </c>
      <c r="B10" s="152">
        <f>SUM(B8:B9)</f>
        <v>512041</v>
      </c>
      <c r="C10" s="176">
        <f>SUM(C8:C9)</f>
        <v>1</v>
      </c>
      <c r="D10" s="165"/>
      <c r="E10" s="1"/>
      <c r="F10" s="146" t="s">
        <v>33</v>
      </c>
      <c r="G10" s="205">
        <f>23/100</f>
        <v>0.23</v>
      </c>
      <c r="H10" s="87"/>
      <c r="I10" s="87"/>
    </row>
    <row r="11" spans="1:9">
      <c r="A11" s="146" t="s">
        <v>204</v>
      </c>
      <c r="B11" s="149">
        <v>24087</v>
      </c>
      <c r="C11" s="93">
        <f>B11/(B12+B11)</f>
        <v>5.433676749584359E-2</v>
      </c>
      <c r="D11" s="77">
        <f>B11/National!B11</f>
        <v>6.386759703833806E-3</v>
      </c>
      <c r="E11" s="1"/>
      <c r="G11" s="49"/>
      <c r="H11" s="87"/>
      <c r="I11" s="86"/>
    </row>
    <row r="12" spans="1:9" ht="23.25">
      <c r="A12" s="146" t="s">
        <v>205</v>
      </c>
      <c r="B12" s="150">
        <v>419204</v>
      </c>
      <c r="C12" s="95">
        <f>B12/(B11+B12)</f>
        <v>0.9456632325041564</v>
      </c>
      <c r="D12" s="79">
        <f>B12/National!B12</f>
        <v>3.1708661660205207E-3</v>
      </c>
      <c r="E12" s="1"/>
      <c r="F12" s="67" t="s">
        <v>189</v>
      </c>
      <c r="G12" s="51"/>
      <c r="H12" s="89" t="s">
        <v>197</v>
      </c>
      <c r="I12" s="90" t="s">
        <v>198</v>
      </c>
    </row>
    <row r="13" spans="1:9">
      <c r="A13" s="1"/>
      <c r="B13" s="51"/>
      <c r="C13" s="96"/>
      <c r="D13" s="96"/>
      <c r="E13" s="1"/>
      <c r="F13" s="146" t="s">
        <v>34</v>
      </c>
      <c r="G13" s="149">
        <v>461882</v>
      </c>
      <c r="H13" s="189">
        <f>G13/G$18</f>
        <v>0.51771671195043001</v>
      </c>
      <c r="I13" s="92">
        <f>+G13/National!G13</f>
        <v>3.3694377662804881E-3</v>
      </c>
    </row>
    <row r="14" spans="1:9" ht="23.25">
      <c r="A14" s="67" t="s">
        <v>162</v>
      </c>
      <c r="B14" s="51"/>
      <c r="C14" s="89" t="s">
        <v>197</v>
      </c>
      <c r="D14" s="119" t="s">
        <v>198</v>
      </c>
      <c r="E14" s="1"/>
      <c r="F14" s="146" t="s">
        <v>12</v>
      </c>
      <c r="G14" s="157">
        <v>403607</v>
      </c>
      <c r="H14" s="86">
        <f>G14/G$18</f>
        <v>0.45239712515356129</v>
      </c>
      <c r="I14" s="106">
        <f>+G14/National!G14</f>
        <v>3.6611138408230645E-3</v>
      </c>
    </row>
    <row r="15" spans="1:9">
      <c r="A15" s="146" t="s">
        <v>3</v>
      </c>
      <c r="B15" s="149">
        <v>3302</v>
      </c>
      <c r="C15" s="174">
        <f>B15/B$17</f>
        <v>0.52571246616780765</v>
      </c>
      <c r="D15" s="77">
        <f>B15/National!B15</f>
        <v>1.1090853639694374E-3</v>
      </c>
      <c r="E15" s="3"/>
      <c r="F15" s="146" t="s">
        <v>13</v>
      </c>
      <c r="G15" s="150">
        <v>2255</v>
      </c>
      <c r="H15" s="86">
        <f>G15/G$18</f>
        <v>2.5275961943704659E-3</v>
      </c>
      <c r="I15" s="106">
        <f>+G15/National!G15</f>
        <v>2.6739933689707675E-3</v>
      </c>
    </row>
    <row r="16" spans="1:9">
      <c r="A16" s="146" t="s">
        <v>2</v>
      </c>
      <c r="B16" s="150">
        <v>2979</v>
      </c>
      <c r="C16" s="175">
        <f>B16/B$17</f>
        <v>0.4742875338321923</v>
      </c>
      <c r="D16" s="78">
        <f>B16/National!B16</f>
        <v>2.7957655273382512E-3</v>
      </c>
      <c r="E16" s="1"/>
      <c r="F16" s="9" t="s">
        <v>1</v>
      </c>
      <c r="G16" s="162">
        <v>867744</v>
      </c>
      <c r="H16" s="105"/>
      <c r="I16" s="106"/>
    </row>
    <row r="17" spans="1:9">
      <c r="A17" s="9" t="s">
        <v>1</v>
      </c>
      <c r="B17" s="154">
        <f>SUM(B15:B16)</f>
        <v>6281</v>
      </c>
      <c r="C17" s="176">
        <f>SUM(C15:C16)</f>
        <v>1</v>
      </c>
      <c r="D17" s="177">
        <f>B17/National!B17</f>
        <v>1.5536384971880652E-3</v>
      </c>
      <c r="E17" s="1"/>
      <c r="F17" s="108" t="s">
        <v>35</v>
      </c>
      <c r="G17" s="117">
        <v>24408</v>
      </c>
      <c r="H17" s="105">
        <f>G17/G$18</f>
        <v>2.7358566701638286E-2</v>
      </c>
      <c r="I17" s="106">
        <f>+G17/National!G17</f>
        <v>3.1672113176678695E-3</v>
      </c>
    </row>
    <row r="18" spans="1:9">
      <c r="A18" s="1"/>
      <c r="B18" s="1"/>
      <c r="C18" s="96"/>
      <c r="D18" s="96"/>
      <c r="E18" s="1"/>
      <c r="F18" s="109" t="s">
        <v>196</v>
      </c>
      <c r="G18" s="184">
        <f>SUM(G16:G17)</f>
        <v>892152</v>
      </c>
      <c r="H18" s="185">
        <f>SUM(H13:H17)</f>
        <v>1</v>
      </c>
      <c r="I18" s="186">
        <f>+G18/National!G18</f>
        <v>3.4867229802594199E-3</v>
      </c>
    </row>
    <row r="19" spans="1:9" ht="23.25">
      <c r="A19" s="5" t="s">
        <v>186</v>
      </c>
      <c r="B19" s="1"/>
      <c r="C19" s="89" t="s">
        <v>197</v>
      </c>
      <c r="D19" s="119" t="s">
        <v>198</v>
      </c>
      <c r="E19" s="1"/>
      <c r="F19" s="67" t="s">
        <v>190</v>
      </c>
      <c r="G19" s="1"/>
      <c r="H19" s="123" t="s">
        <v>197</v>
      </c>
      <c r="I19" s="119" t="s">
        <v>198</v>
      </c>
    </row>
    <row r="20" spans="1:9">
      <c r="A20" s="146" t="s">
        <v>5</v>
      </c>
      <c r="B20" s="149">
        <v>41</v>
      </c>
      <c r="C20" s="174">
        <f>B20/B$26</f>
        <v>6.5265838904807385E-3</v>
      </c>
      <c r="D20" s="77">
        <f>B20/National!B20</f>
        <v>8.7698658852217062E-4</v>
      </c>
      <c r="E20" s="51"/>
      <c r="F20" s="163" t="s">
        <v>3</v>
      </c>
      <c r="G20" s="108">
        <f>50+23</f>
        <v>73</v>
      </c>
      <c r="H20" s="189">
        <f>G20/G$23</f>
        <v>0.60330578512396693</v>
      </c>
      <c r="I20" s="92">
        <f>+G20/National!G20</f>
        <v>3.5084346614120249E-3</v>
      </c>
    </row>
    <row r="21" spans="1:9">
      <c r="A21" s="146" t="s">
        <v>7</v>
      </c>
      <c r="B21" s="157">
        <f>167+178</f>
        <v>345</v>
      </c>
      <c r="C21" s="175">
        <f t="shared" ref="C21:C25" si="0">B21/B$26</f>
        <v>5.4918815663801336E-2</v>
      </c>
      <c r="D21" s="78">
        <f>B21/National!B21</f>
        <v>2.1629280403245017E-3</v>
      </c>
      <c r="E21" s="51"/>
      <c r="F21" s="163" t="s">
        <v>2</v>
      </c>
      <c r="G21" s="198">
        <f>42+5</f>
        <v>47</v>
      </c>
      <c r="H21" s="86">
        <f t="shared" ref="H21:H22" si="1">G21/G$23</f>
        <v>0.38842975206611569</v>
      </c>
      <c r="I21" s="106">
        <f>+G21/National!G21</f>
        <v>2.9456004011030332E-3</v>
      </c>
    </row>
    <row r="22" spans="1:9">
      <c r="A22" s="146" t="s">
        <v>6</v>
      </c>
      <c r="B22" s="157">
        <f>110+190</f>
        <v>300</v>
      </c>
      <c r="C22" s="175">
        <f t="shared" si="0"/>
        <v>4.775549188156638E-2</v>
      </c>
      <c r="D22" s="78">
        <f>B22/National!B22</f>
        <v>1.2438068782520367E-3</v>
      </c>
      <c r="E22" s="51"/>
      <c r="F22" s="163" t="s">
        <v>28</v>
      </c>
      <c r="G22" s="181">
        <v>1</v>
      </c>
      <c r="H22" s="86">
        <f t="shared" si="1"/>
        <v>8.2644628099173556E-3</v>
      </c>
      <c r="I22" s="106">
        <f>+G22/National!G22</f>
        <v>2.008032128514056E-3</v>
      </c>
    </row>
    <row r="23" spans="1:9">
      <c r="A23" s="146" t="s">
        <v>30</v>
      </c>
      <c r="B23" s="157">
        <f>450+228+368</f>
        <v>1046</v>
      </c>
      <c r="C23" s="175">
        <f t="shared" si="0"/>
        <v>0.16650748169372812</v>
      </c>
      <c r="D23" s="78">
        <f>B23/National!B23</f>
        <v>1.3162414887874093E-3</v>
      </c>
      <c r="E23" s="51"/>
      <c r="F23" s="9" t="s">
        <v>1</v>
      </c>
      <c r="G23" s="197">
        <f>SUM(G20:G22)</f>
        <v>121</v>
      </c>
      <c r="H23" s="132">
        <f>SUM(H20:H22)</f>
        <v>1</v>
      </c>
      <c r="I23" s="133">
        <f>+G23/National!G23</f>
        <v>3.2473631947612784E-3</v>
      </c>
    </row>
    <row r="24" spans="1:9">
      <c r="A24" s="146" t="s">
        <v>8</v>
      </c>
      <c r="B24" s="157">
        <f>2347+2173</f>
        <v>4520</v>
      </c>
      <c r="C24" s="175">
        <f t="shared" si="0"/>
        <v>0.71951607768226677</v>
      </c>
      <c r="D24" s="78">
        <f>B24/National!B24</f>
        <v>1.6204759323472809E-3</v>
      </c>
      <c r="E24" s="51"/>
      <c r="F24" s="51"/>
      <c r="G24" s="51"/>
      <c r="H24" s="87"/>
      <c r="I24" s="87"/>
    </row>
    <row r="25" spans="1:9" ht="15.75">
      <c r="A25" s="156" t="s">
        <v>29</v>
      </c>
      <c r="B25" s="150">
        <v>30</v>
      </c>
      <c r="C25" s="175">
        <f t="shared" si="0"/>
        <v>4.7755491881566383E-3</v>
      </c>
      <c r="D25" s="78">
        <f>B25/National!B25</f>
        <v>2.6466696074106751E-3</v>
      </c>
      <c r="E25" s="51"/>
      <c r="F25" s="68" t="s">
        <v>37</v>
      </c>
      <c r="G25" s="51"/>
      <c r="H25" s="87"/>
      <c r="I25" s="87"/>
    </row>
    <row r="26" spans="1:9" ht="23.25">
      <c r="A26" s="22" t="s">
        <v>1</v>
      </c>
      <c r="B26" s="154">
        <f>SUM(B20:B25)</f>
        <v>6282</v>
      </c>
      <c r="C26" s="176">
        <f>SUM(C20:C25)</f>
        <v>0.99999999999999989</v>
      </c>
      <c r="D26" s="177">
        <f>B26/National!B26</f>
        <v>1.5538820088562865E-3</v>
      </c>
      <c r="E26" s="51"/>
      <c r="F26" s="5" t="s">
        <v>191</v>
      </c>
      <c r="G26" s="55"/>
      <c r="H26" s="111"/>
      <c r="I26" s="118" t="s">
        <v>198</v>
      </c>
    </row>
    <row r="27" spans="1:9">
      <c r="B27" s="49"/>
      <c r="C27" s="96"/>
      <c r="D27" s="96"/>
      <c r="E27" s="51"/>
      <c r="F27" s="53" t="s">
        <v>14</v>
      </c>
      <c r="G27" s="56">
        <v>586144</v>
      </c>
      <c r="H27" s="87"/>
      <c r="I27" s="113">
        <f>+G27/National!G27</f>
        <v>4.2449842840911181E-3</v>
      </c>
    </row>
    <row r="28" spans="1:9" ht="23.25">
      <c r="A28" s="5" t="s">
        <v>172</v>
      </c>
      <c r="B28" s="51"/>
      <c r="C28" s="89" t="s">
        <v>197</v>
      </c>
      <c r="D28" s="119" t="s">
        <v>198</v>
      </c>
      <c r="E28" s="51"/>
      <c r="F28" s="53" t="s">
        <v>15</v>
      </c>
      <c r="G28" s="56">
        <v>610328</v>
      </c>
      <c r="H28" s="87"/>
      <c r="I28" s="114">
        <f>+G28/National!G28</f>
        <v>4.5895996517147731E-3</v>
      </c>
    </row>
    <row r="29" spans="1:9">
      <c r="A29" s="146" t="s">
        <v>91</v>
      </c>
      <c r="B29" s="149">
        <f>3077+2252</f>
        <v>5329</v>
      </c>
      <c r="C29" s="174">
        <f>B29/B$34</f>
        <v>0.848431778379239</v>
      </c>
      <c r="D29" s="77">
        <f>B29/National!B29</f>
        <v>6.8343907465760719E-3</v>
      </c>
      <c r="E29" s="51"/>
      <c r="F29" s="51"/>
      <c r="G29" s="51"/>
      <c r="H29" s="87"/>
      <c r="I29" s="87"/>
    </row>
    <row r="30" spans="1:9" ht="23.25">
      <c r="A30" s="146" t="s">
        <v>92</v>
      </c>
      <c r="B30" s="157">
        <v>0</v>
      </c>
      <c r="C30" s="175">
        <f t="shared" ref="C30:C33" si="2">B30/B$34</f>
        <v>0</v>
      </c>
      <c r="D30" s="78">
        <f>B30/National!B30</f>
        <v>0</v>
      </c>
      <c r="E30" s="51"/>
      <c r="F30" s="5" t="s">
        <v>184</v>
      </c>
      <c r="G30" s="51"/>
      <c r="H30" s="89" t="s">
        <v>197</v>
      </c>
      <c r="I30" s="124" t="s">
        <v>198</v>
      </c>
    </row>
    <row r="31" spans="1:9">
      <c r="A31" s="146" t="s">
        <v>93</v>
      </c>
      <c r="B31" s="157">
        <f>102+679</f>
        <v>781</v>
      </c>
      <c r="C31" s="175">
        <f t="shared" si="2"/>
        <v>0.12434325744308231</v>
      </c>
      <c r="D31" s="78">
        <f>B31/National!B31</f>
        <v>6.0710176922359376E-4</v>
      </c>
      <c r="E31" s="51"/>
      <c r="F31" s="163" t="s">
        <v>16</v>
      </c>
      <c r="G31" s="168">
        <v>308603</v>
      </c>
      <c r="H31" s="92">
        <f>G31/G$38</f>
        <v>0.26237601875893779</v>
      </c>
      <c r="I31" s="112">
        <f>+G31/National!G31</f>
        <v>7.3056264187064263E-3</v>
      </c>
    </row>
    <row r="32" spans="1:9">
      <c r="A32" s="146" t="s">
        <v>94</v>
      </c>
      <c r="B32" s="157">
        <f>39+4</f>
        <v>43</v>
      </c>
      <c r="C32" s="175">
        <f t="shared" si="2"/>
        <v>6.8460436236268112E-3</v>
      </c>
      <c r="D32" s="78">
        <f>B32/National!B32</f>
        <v>7.5416103968991709E-4</v>
      </c>
      <c r="E32" s="51"/>
      <c r="F32" s="163" t="s">
        <v>17</v>
      </c>
      <c r="G32" s="169">
        <v>436704</v>
      </c>
      <c r="H32" s="106">
        <f t="shared" ref="H32:H37" si="3">G32/G$38</f>
        <v>0.37128821461911637</v>
      </c>
      <c r="I32" s="113">
        <f>+G32/National!G32</f>
        <v>7.0195843000711551E-3</v>
      </c>
    </row>
    <row r="33" spans="1:9">
      <c r="A33" s="146" t="s">
        <v>95</v>
      </c>
      <c r="B33" s="150">
        <f>84+44</f>
        <v>128</v>
      </c>
      <c r="C33" s="175">
        <f t="shared" si="2"/>
        <v>2.0378920554051903E-2</v>
      </c>
      <c r="D33" s="78">
        <f>B33/National!B33</f>
        <v>9.7314721892771336E-4</v>
      </c>
      <c r="E33" s="51"/>
      <c r="F33" s="163" t="s">
        <v>18</v>
      </c>
      <c r="G33" s="169">
        <v>163796</v>
      </c>
      <c r="H33" s="106">
        <f t="shared" si="3"/>
        <v>0.13926028706344065</v>
      </c>
      <c r="I33" s="113">
        <f>+G33/National!G33</f>
        <v>5.1561152752952746E-3</v>
      </c>
    </row>
    <row r="34" spans="1:9">
      <c r="A34" s="9" t="s">
        <v>1</v>
      </c>
      <c r="B34" s="154">
        <f>SUM(B29:B33)</f>
        <v>6281</v>
      </c>
      <c r="C34" s="176">
        <f>SUM(C29:C33)</f>
        <v>1</v>
      </c>
      <c r="D34" s="180">
        <f>B34/National!B34</f>
        <v>1.5536384971880652E-3</v>
      </c>
      <c r="E34" s="51"/>
      <c r="F34" s="163" t="s">
        <v>19</v>
      </c>
      <c r="G34" s="169">
        <v>3215</v>
      </c>
      <c r="H34" s="106">
        <f t="shared" si="3"/>
        <v>2.7334112121722245E-3</v>
      </c>
      <c r="I34" s="113">
        <f>+G34/National!G34</f>
        <v>3.7436148950926155E-4</v>
      </c>
    </row>
    <row r="35" spans="1:9">
      <c r="B35" s="49"/>
      <c r="C35" s="96"/>
      <c r="D35" s="96"/>
      <c r="E35" s="51"/>
      <c r="F35" s="163" t="s">
        <v>20</v>
      </c>
      <c r="G35" s="169">
        <v>135</v>
      </c>
      <c r="H35" s="106">
        <f t="shared" si="3"/>
        <v>1.1477776474129091E-4</v>
      </c>
      <c r="I35" s="113">
        <f>+G35/National!G35</f>
        <v>1.0125969308412048E-5</v>
      </c>
    </row>
    <row r="36" spans="1:9" ht="23.25">
      <c r="A36" s="5" t="s">
        <v>173</v>
      </c>
      <c r="B36" s="51"/>
      <c r="C36" s="89" t="s">
        <v>197</v>
      </c>
      <c r="D36" s="119" t="s">
        <v>198</v>
      </c>
      <c r="E36" s="51"/>
      <c r="F36" s="163" t="s">
        <v>21</v>
      </c>
      <c r="G36" s="169">
        <v>27972</v>
      </c>
      <c r="H36" s="106">
        <f t="shared" si="3"/>
        <v>2.3781952854395477E-2</v>
      </c>
      <c r="I36" s="113">
        <f>+G36/National!G36</f>
        <v>1.7680777767123577E-3</v>
      </c>
    </row>
    <row r="37" spans="1:9">
      <c r="A37" s="146" t="s">
        <v>5</v>
      </c>
      <c r="B37" s="149">
        <v>261</v>
      </c>
      <c r="C37" s="174">
        <f>B37/B$43</f>
        <v>1.9172849482112685E-2</v>
      </c>
      <c r="D37" s="77">
        <f>B37/National!B37</f>
        <v>1.2219787628518456E-3</v>
      </c>
      <c r="E37" s="51"/>
      <c r="F37" s="163" t="s">
        <v>22</v>
      </c>
      <c r="G37" s="170">
        <v>235761</v>
      </c>
      <c r="H37" s="106">
        <f t="shared" si="3"/>
        <v>0.20044533772719622</v>
      </c>
      <c r="I37" s="114">
        <f>+G37/National!G37</f>
        <v>9.1892526268635526E-3</v>
      </c>
    </row>
    <row r="38" spans="1:9">
      <c r="A38" s="146" t="s">
        <v>7</v>
      </c>
      <c r="B38" s="157">
        <f>599+693</f>
        <v>1292</v>
      </c>
      <c r="C38" s="175">
        <f t="shared" ref="C38:C42" si="4">B38/B$43</f>
        <v>9.4909277896128699E-2</v>
      </c>
      <c r="D38" s="78">
        <f>B38/National!B38</f>
        <v>2.7056571689444168E-3</v>
      </c>
      <c r="E38" s="51"/>
      <c r="F38" s="47" t="s">
        <v>1</v>
      </c>
      <c r="G38" s="187">
        <f>SUM(G31:G37)</f>
        <v>1176186</v>
      </c>
      <c r="H38" s="188">
        <f>SUM(H31:H37)</f>
        <v>1</v>
      </c>
      <c r="I38" s="188">
        <f>+G38/National!G39</f>
        <v>5.8435367118800591E-3</v>
      </c>
    </row>
    <row r="39" spans="1:9">
      <c r="A39" s="146" t="s">
        <v>6</v>
      </c>
      <c r="B39" s="157">
        <f>248+517</f>
        <v>765</v>
      </c>
      <c r="C39" s="175">
        <f t="shared" si="4"/>
        <v>5.6196282964813049E-2</v>
      </c>
      <c r="D39" s="78">
        <f>B39/National!B39</f>
        <v>1.3841519129341306E-3</v>
      </c>
      <c r="E39" s="51"/>
      <c r="H39" s="87"/>
      <c r="I39" s="87"/>
    </row>
    <row r="40" spans="1:9" ht="23.25">
      <c r="A40" s="146" t="s">
        <v>30</v>
      </c>
      <c r="B40" s="157">
        <f>906+457+760</f>
        <v>2123</v>
      </c>
      <c r="C40" s="175">
        <f t="shared" si="4"/>
        <v>0.15595386762653346</v>
      </c>
      <c r="D40" s="78">
        <f>B40/National!B40</f>
        <v>1.3196220274317284E-3</v>
      </c>
      <c r="E40" s="51"/>
      <c r="F40" s="5" t="s">
        <v>185</v>
      </c>
      <c r="G40" s="51"/>
      <c r="H40" s="87" t="s">
        <v>197</v>
      </c>
      <c r="I40" s="124" t="s">
        <v>198</v>
      </c>
    </row>
    <row r="41" spans="1:9">
      <c r="A41" s="146" t="s">
        <v>8</v>
      </c>
      <c r="B41" s="157">
        <f>4694+4345</f>
        <v>9039</v>
      </c>
      <c r="C41" s="175">
        <f t="shared" si="4"/>
        <v>0.66399764930581062</v>
      </c>
      <c r="D41" s="78">
        <f>B41/National!B41</f>
        <v>1.6202978379537246E-3</v>
      </c>
      <c r="E41" s="51"/>
      <c r="F41" s="163" t="s">
        <v>38</v>
      </c>
      <c r="G41" s="168">
        <v>292736</v>
      </c>
      <c r="H41" s="189">
        <f>G41/G$47</f>
        <v>0.39799923591368813</v>
      </c>
      <c r="I41" s="113">
        <f>+G41/National!G42</f>
        <v>3.2279490707053785E-3</v>
      </c>
    </row>
    <row r="42" spans="1:9">
      <c r="A42" s="156" t="s">
        <v>29</v>
      </c>
      <c r="B42" s="150">
        <v>133</v>
      </c>
      <c r="C42" s="175">
        <f t="shared" si="4"/>
        <v>9.7700727246014842E-3</v>
      </c>
      <c r="D42" s="78">
        <f>B42/National!B42</f>
        <v>2.5198938992042441E-3</v>
      </c>
      <c r="E42" s="51"/>
      <c r="F42" s="163" t="s">
        <v>39</v>
      </c>
      <c r="G42" s="169">
        <v>142600</v>
      </c>
      <c r="H42" s="86">
        <f t="shared" ref="H42:H46" si="5">G42/G$47</f>
        <v>0.19387670474861968</v>
      </c>
      <c r="I42" s="113">
        <f>+G42/National!G43</f>
        <v>3.2019287376854012E-3</v>
      </c>
    </row>
    <row r="43" spans="1:9">
      <c r="A43" s="9" t="s">
        <v>1</v>
      </c>
      <c r="B43" s="154">
        <f>SUM(B37:B42)</f>
        <v>13613</v>
      </c>
      <c r="C43" s="178">
        <f>SUM(C37:C42)</f>
        <v>1</v>
      </c>
      <c r="D43" s="179">
        <f>B43/National!B43</f>
        <v>1.6045556036331579E-3</v>
      </c>
      <c r="E43" s="51"/>
      <c r="F43" s="163" t="s">
        <v>40</v>
      </c>
      <c r="G43" s="169">
        <v>77865</v>
      </c>
      <c r="H43" s="86">
        <f t="shared" si="5"/>
        <v>0.10586402254734412</v>
      </c>
      <c r="I43" s="113">
        <f>+G43/National!G44</f>
        <v>5.943450773701957E-3</v>
      </c>
    </row>
    <row r="44" spans="1:9">
      <c r="A44" s="1"/>
      <c r="B44" s="49"/>
      <c r="C44" s="96"/>
      <c r="D44" s="96"/>
      <c r="E44" s="51"/>
      <c r="F44" s="163" t="s">
        <v>41</v>
      </c>
      <c r="G44" s="169">
        <v>84816</v>
      </c>
      <c r="H44" s="86">
        <f t="shared" si="5"/>
        <v>0.11531449221570075</v>
      </c>
      <c r="I44" s="113">
        <f>+G44/National!G45</f>
        <v>5.760974181712222E-3</v>
      </c>
    </row>
    <row r="45" spans="1:9" ht="23.25">
      <c r="A45" s="66" t="s">
        <v>187</v>
      </c>
      <c r="B45" s="58"/>
      <c r="C45" s="89" t="s">
        <v>197</v>
      </c>
      <c r="D45" s="119" t="s">
        <v>198</v>
      </c>
      <c r="E45" s="51"/>
      <c r="F45" s="163" t="s">
        <v>42</v>
      </c>
      <c r="G45" s="169">
        <v>68128</v>
      </c>
      <c r="H45" s="86">
        <f t="shared" si="5"/>
        <v>9.2625751340210116E-2</v>
      </c>
      <c r="I45" s="113">
        <f>+G45/National!G46</f>
        <v>8.1895885912183827E-3</v>
      </c>
    </row>
    <row r="46" spans="1:9">
      <c r="A46" s="8" t="s">
        <v>3</v>
      </c>
      <c r="B46" s="52">
        <v>2706</v>
      </c>
      <c r="C46" s="93">
        <f>B46/B$48</f>
        <v>0.3014705882352941</v>
      </c>
      <c r="D46" s="77">
        <f>B46/National!B48</f>
        <v>2.7321797463293277E-3</v>
      </c>
      <c r="E46" s="51"/>
      <c r="F46" s="163" t="s">
        <v>43</v>
      </c>
      <c r="G46" s="170">
        <v>69374</v>
      </c>
      <c r="H46" s="86">
        <f t="shared" si="5"/>
        <v>9.4319793234437177E-2</v>
      </c>
      <c r="I46" s="113">
        <f>+G46/National!G47</f>
        <v>8.7087370950347503E-3</v>
      </c>
    </row>
    <row r="47" spans="1:9">
      <c r="A47" s="8" t="s">
        <v>2</v>
      </c>
      <c r="B47" s="52">
        <v>6270</v>
      </c>
      <c r="C47" s="97">
        <f>B47/B$48</f>
        <v>0.69852941176470584</v>
      </c>
      <c r="D47" s="78">
        <f>B47/National!B49</f>
        <v>3.1617308535009238E-3</v>
      </c>
      <c r="E47" s="51"/>
      <c r="F47" s="9" t="s">
        <v>1</v>
      </c>
      <c r="G47" s="191">
        <f>SUM(G41:G46)</f>
        <v>735519</v>
      </c>
      <c r="H47" s="182">
        <f>SUM(H41:H46)</f>
        <v>1</v>
      </c>
      <c r="I47" s="188">
        <f>+G47/National!G49</f>
        <v>4.0542468580205583E-3</v>
      </c>
    </row>
    <row r="48" spans="1:9">
      <c r="A48" s="9" t="s">
        <v>1</v>
      </c>
      <c r="B48" s="155">
        <f>SUM(B46:B47)</f>
        <v>8976</v>
      </c>
      <c r="C48" s="165">
        <f>SUM(C46:C47)</f>
        <v>1</v>
      </c>
      <c r="D48" s="177">
        <f>B48/National!B50</f>
        <v>3.0186557363707325E-3</v>
      </c>
      <c r="E48" s="51"/>
      <c r="H48" s="87"/>
      <c r="I48" s="87"/>
    </row>
    <row r="49" spans="1:9" ht="23.25">
      <c r="B49" s="49"/>
      <c r="C49" s="96"/>
      <c r="D49" s="96"/>
      <c r="E49" s="51"/>
      <c r="F49" s="5" t="s">
        <v>192</v>
      </c>
      <c r="G49" s="51"/>
      <c r="H49" s="88" t="s">
        <v>197</v>
      </c>
      <c r="I49" s="124" t="s">
        <v>198</v>
      </c>
    </row>
    <row r="50" spans="1:9" ht="23.25">
      <c r="A50" s="5" t="s">
        <v>160</v>
      </c>
      <c r="B50" s="51"/>
      <c r="C50" s="89" t="s">
        <v>197</v>
      </c>
      <c r="D50" s="119" t="s">
        <v>198</v>
      </c>
      <c r="E50" s="51"/>
      <c r="F50" s="163" t="s">
        <v>96</v>
      </c>
      <c r="G50" s="193">
        <v>84859</v>
      </c>
      <c r="H50" s="189">
        <f>G50/G$52</f>
        <v>0.85399579337204501</v>
      </c>
      <c r="I50" s="113">
        <f>+G50/National!G52</f>
        <v>2.7075428130865389E-3</v>
      </c>
    </row>
    <row r="51" spans="1:9">
      <c r="A51" s="146" t="s">
        <v>5</v>
      </c>
      <c r="B51" s="149">
        <v>1253</v>
      </c>
      <c r="C51" s="174">
        <f>B51/B$57</f>
        <v>0.13959447415329768</v>
      </c>
      <c r="D51" s="77">
        <f>B51/National!B53</f>
        <v>1.7417752206410789E-3</v>
      </c>
      <c r="E51" s="51"/>
      <c r="F51" s="163" t="s">
        <v>97</v>
      </c>
      <c r="G51" s="194">
        <v>14508</v>
      </c>
      <c r="H51" s="86">
        <f>G51/G$52</f>
        <v>0.14600420662795496</v>
      </c>
      <c r="I51" s="113">
        <f>+G51/National!G53</f>
        <v>2.8769554244431352E-3</v>
      </c>
    </row>
    <row r="52" spans="1:9">
      <c r="A52" s="146" t="s">
        <v>7</v>
      </c>
      <c r="B52" s="157">
        <f>1298+1773</f>
        <v>3071</v>
      </c>
      <c r="C52" s="175">
        <f t="shared" ref="C52:C56" si="6">B52/B$57</f>
        <v>0.34213458110516937</v>
      </c>
      <c r="D52" s="78">
        <f>B52/National!B54</f>
        <v>4.4840823108720377E-3</v>
      </c>
      <c r="E52" s="51"/>
      <c r="F52" s="60" t="s">
        <v>1</v>
      </c>
      <c r="G52" s="190">
        <f>SUM(G50:G51)</f>
        <v>99367</v>
      </c>
      <c r="H52" s="185">
        <f>SUM(H50:H51)</f>
        <v>1</v>
      </c>
      <c r="I52" s="192">
        <f>+G52/National!G54</f>
        <v>2.7310230970945815E-3</v>
      </c>
    </row>
    <row r="53" spans="1:9">
      <c r="A53" s="146" t="s">
        <v>6</v>
      </c>
      <c r="B53" s="157">
        <f>281+935</f>
        <v>1216</v>
      </c>
      <c r="C53" s="175">
        <f t="shared" si="6"/>
        <v>0.13547237076648841</v>
      </c>
      <c r="D53" s="78">
        <f>B53/National!B55</f>
        <v>2.2986419865106008E-3</v>
      </c>
      <c r="E53" s="51"/>
      <c r="F53" s="51"/>
      <c r="G53" s="51"/>
      <c r="H53" s="87"/>
      <c r="I53" s="87"/>
    </row>
    <row r="54" spans="1:9">
      <c r="A54" s="146" t="s">
        <v>30</v>
      </c>
      <c r="B54" s="157">
        <f>590+110+727</f>
        <v>1427</v>
      </c>
      <c r="C54" s="175">
        <f t="shared" si="6"/>
        <v>0.15897950089126558</v>
      </c>
      <c r="D54" s="78">
        <f>B54/National!B56</f>
        <v>3.4257838851318098E-3</v>
      </c>
      <c r="E54" s="51"/>
      <c r="F54" s="130" t="s">
        <v>202</v>
      </c>
      <c r="G54" s="51"/>
      <c r="H54" s="87"/>
      <c r="I54" s="87"/>
    </row>
    <row r="55" spans="1:9">
      <c r="A55" s="146" t="s">
        <v>8</v>
      </c>
      <c r="B55" s="157">
        <f>427+1141</f>
        <v>1568</v>
      </c>
      <c r="C55" s="175">
        <f t="shared" si="6"/>
        <v>0.17468805704099821</v>
      </c>
      <c r="D55" s="78">
        <f>B55/National!B57</f>
        <v>3.9094250053604996E-3</v>
      </c>
      <c r="E55" s="51"/>
      <c r="F55" s="199" t="s">
        <v>203</v>
      </c>
      <c r="G55" s="51"/>
      <c r="H55" s="87"/>
      <c r="I55" s="87"/>
    </row>
    <row r="56" spans="1:9">
      <c r="A56" s="156" t="s">
        <v>29</v>
      </c>
      <c r="B56" s="181">
        <v>441</v>
      </c>
      <c r="C56" s="175">
        <f t="shared" si="6"/>
        <v>4.9131016042780751E-2</v>
      </c>
      <c r="D56" s="78">
        <f>B56/National!B58</f>
        <v>1.9809184993531694E-3</v>
      </c>
      <c r="E56" s="51"/>
      <c r="F56" s="51"/>
      <c r="G56" s="51"/>
      <c r="H56" s="87"/>
      <c r="I56" s="87"/>
    </row>
    <row r="57" spans="1:9">
      <c r="A57" s="9" t="s">
        <v>1</v>
      </c>
      <c r="B57" s="154">
        <f>SUM(B51:B56)</f>
        <v>8976</v>
      </c>
      <c r="C57" s="178">
        <f>SUM(C51:C56)</f>
        <v>1</v>
      </c>
      <c r="D57" s="177">
        <f>B57/National!B59</f>
        <v>3.0186557363707325E-3</v>
      </c>
      <c r="E57" s="51"/>
      <c r="F57" s="51"/>
      <c r="G57" s="51"/>
      <c r="H57" s="87"/>
      <c r="I57" s="87"/>
    </row>
  </sheetData>
  <hyperlinks>
    <hyperlink ref="F2" r:id="rId1"/>
  </hyperlinks>
  <pageMargins left="0.7" right="0.7" top="0.75" bottom="0.75" header="0.3" footer="0.3"/>
  <pageSetup scale="80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19</vt:i4>
      </vt:variant>
    </vt:vector>
  </HeadingPairs>
  <TitlesOfParts>
    <vt:vector size="72" baseType="lpstr">
      <vt:lpstr>National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MAP</vt:lpstr>
      <vt:lpstr>AK!Print_Area</vt:lpstr>
      <vt:lpstr>AL!Print_Area</vt:lpstr>
      <vt:lpstr>AR!Print_Area</vt:lpstr>
      <vt:lpstr>AZ!Print_Area</vt:lpstr>
      <vt:lpstr>CA!Print_Area</vt:lpstr>
      <vt:lpstr>CO!Print_Area</vt:lpstr>
      <vt:lpstr>CT!Print_Area</vt:lpstr>
      <vt:lpstr>HI!Print_Area</vt:lpstr>
      <vt:lpstr>ID!Print_Area</vt:lpstr>
      <vt:lpstr>ND!Print_Area</vt:lpstr>
      <vt:lpstr>NM!Print_Area</vt:lpstr>
      <vt:lpstr>NV!Print_Area</vt:lpstr>
      <vt:lpstr>OK!Print_Area</vt:lpstr>
      <vt:lpstr>RI!Print_Area</vt:lpstr>
      <vt:lpstr>SC!Print_Area</vt:lpstr>
      <vt:lpstr>UT!Print_Area</vt:lpstr>
      <vt:lpstr>VT!Print_Area</vt:lpstr>
      <vt:lpstr>WI!Print_Area</vt:lpstr>
      <vt:lpstr>WY!Print_Area</vt:lpstr>
    </vt:vector>
  </TitlesOfParts>
  <Company>USDOT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cp:lastPrinted>2011-02-01T15:24:33Z</cp:lastPrinted>
  <dcterms:created xsi:type="dcterms:W3CDTF">2010-10-14T15:02:42Z</dcterms:created>
  <dcterms:modified xsi:type="dcterms:W3CDTF">2011-03-29T18:46:42Z</dcterms:modified>
</cp:coreProperties>
</file>